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0" activeTab="0"/>
  </bookViews>
  <sheets>
    <sheet name="orçamento" sheetId="1" r:id="rId1"/>
    <sheet name="cronograma" sheetId="2" r:id="rId2"/>
  </sheets>
  <definedNames>
    <definedName name="_xlnm.Print_Area" localSheetId="1">'cronograma'!$A$1:$J$39</definedName>
    <definedName name="_xlnm.Print_Area" localSheetId="0">'orçamento'!$A$1:$H$132</definedName>
    <definedName name="Excel_BuiltIn_Print_Area_11" localSheetId="0">'orçamento'!$C$6:$H$79</definedName>
    <definedName name="Excel_BuiltIn_Print_Area_11">#REF!</definedName>
    <definedName name="Excel_BuiltIn_Print_Area_1_1" localSheetId="0">'orçamento'!$C$13:$H$79</definedName>
    <definedName name="Excel_BuiltIn_Print_Area_1_1">#REF!</definedName>
    <definedName name="Excel_BuiltIn_Print_Area_1_1_1" localSheetId="0">'orçamento'!$C$13:$H$79</definedName>
    <definedName name="Excel_BuiltIn_Print_Area_1_1_1">#REF!</definedName>
    <definedName name="Excel_BuiltIn_Print_Area_1_1_11" localSheetId="0">'orçamento'!$C$13:$H$79</definedName>
    <definedName name="Excel_BuiltIn_Print_Area_1_1_11">#REF!</definedName>
    <definedName name="Excel_BuiltIn_Print_Area_1_1_1_1" localSheetId="0">'orçamento'!$C$13:$H$82</definedName>
    <definedName name="Excel_BuiltIn_Print_Area_1_1_1_1">#REF!</definedName>
    <definedName name="Excel_BuiltIn_Print_Area_1_1_1_1_1" localSheetId="0">'orçamento'!#REF!</definedName>
    <definedName name="Excel_BuiltIn_Print_Area_1_1_1_1_1">#REF!</definedName>
    <definedName name="Excel_BuiltIn_Print_Area_2_1">'cronograma'!$A$2:$J$40</definedName>
    <definedName name="Excel_BuiltIn_Print_Area_2_1_1">'cronograma'!$A$2:$J$37</definedName>
  </definedNames>
  <calcPr fullCalcOnLoad="1"/>
</workbook>
</file>

<file path=xl/sharedStrings.xml><?xml version="1.0" encoding="utf-8"?>
<sst xmlns="http://schemas.openxmlformats.org/spreadsheetml/2006/main" count="310" uniqueCount="197">
  <si>
    <t>PLANILHA ORÇAMENTÁRIA</t>
  </si>
  <si>
    <r>
      <t>Objeto:</t>
    </r>
    <r>
      <rPr>
        <sz val="11"/>
        <rFont val="Arial"/>
        <family val="2"/>
      </rPr>
      <t xml:space="preserve"> Valorização do Centro Histórico de Jahu -parte 2 – Continuidade da última etapa do Boulevard</t>
    </r>
  </si>
  <si>
    <r>
      <t>Endereço:</t>
    </r>
    <r>
      <rPr>
        <sz val="11"/>
        <rFont val="Arial"/>
        <family val="2"/>
      </rPr>
      <t xml:space="preserve"> Rua Major Prado, trecho localizado entre a Rua Amaral Gurgel e Rua Visconde do Rio Branco, em Jahu - SP.</t>
    </r>
  </si>
  <si>
    <r>
      <t xml:space="preserve">PROCESSO: </t>
    </r>
    <r>
      <rPr>
        <sz val="11"/>
        <rFont val="Arial"/>
        <family val="2"/>
      </rPr>
      <t>-</t>
    </r>
  </si>
  <si>
    <r>
      <t xml:space="preserve">CONVÊNIO: </t>
    </r>
    <r>
      <rPr>
        <sz val="12"/>
        <rFont val="Arial"/>
        <family val="2"/>
      </rPr>
      <t>-</t>
    </r>
  </si>
  <si>
    <t>ITEM</t>
  </si>
  <si>
    <t>FONTE</t>
  </si>
  <si>
    <t>CÓDIGO</t>
  </si>
  <si>
    <t>DESCRIÇÃO DOS SERVIÇOS</t>
  </si>
  <si>
    <t>UNID.</t>
  </si>
  <si>
    <t>QTDE.</t>
  </si>
  <si>
    <t>SERVIÇOS PRELIMINARES</t>
  </si>
  <si>
    <t>1.1</t>
  </si>
  <si>
    <t>CDHU</t>
  </si>
  <si>
    <t>02.08.050</t>
  </si>
  <si>
    <t>Placa em lona com impressão digital e estrutura em madeira</t>
  </si>
  <si>
    <t>m²</t>
  </si>
  <si>
    <t>1.2</t>
  </si>
  <si>
    <t>02.02.150</t>
  </si>
  <si>
    <t>Locação de container tipo depósito - área mínima de 13,80 m²</t>
  </si>
  <si>
    <t>unxmês</t>
  </si>
  <si>
    <t>1.3</t>
  </si>
  <si>
    <t>1.4</t>
  </si>
  <si>
    <t>03.04.030</t>
  </si>
  <si>
    <t>Demolição manual de revestimento em ladrilho hidráulico, incluindo a base</t>
  </si>
  <si>
    <t>1.5</t>
  </si>
  <si>
    <t>03.07.010</t>
  </si>
  <si>
    <t>Demolição (levantamento) mecanizada de pavimento asfáltico, inclusive carregamento, transporte até 1 quilômetro e descarregamento</t>
  </si>
  <si>
    <t>1.6</t>
  </si>
  <si>
    <t>03.06.050</t>
  </si>
  <si>
    <t>Desmonte (levantamento) mecanizado de pavimento em paralelepípedo ou lajota de concreto, inclusive carregamento, transporte até 1,0 quilômetro e descarregamento</t>
  </si>
  <si>
    <t>03.01.270</t>
  </si>
  <si>
    <t>Demolição mecanizada de sarjeta ou sarjetão, inclusive fragmentação e acomodação do material</t>
  </si>
  <si>
    <t>m³</t>
  </si>
  <si>
    <t>PISOS / GUIAS / SARJETAS/FLOREIRAS</t>
  </si>
  <si>
    <t>2.1</t>
  </si>
  <si>
    <t>11.20.050</t>
  </si>
  <si>
    <t>Corte com serra de disco diamantado para pisos</t>
  </si>
  <si>
    <t>m</t>
  </si>
  <si>
    <t>2.2</t>
  </si>
  <si>
    <t>54.06.040</t>
  </si>
  <si>
    <t>Guia pré-moldada reta tipo PMSP 100 - fck 25 MPa</t>
  </si>
  <si>
    <t>2.3</t>
  </si>
  <si>
    <t>11.18.040</t>
  </si>
  <si>
    <t>Lastro de pedra britada</t>
  </si>
  <si>
    <t>2.4</t>
  </si>
  <si>
    <t>11.18.020</t>
  </si>
  <si>
    <t>Lastro de areia</t>
  </si>
  <si>
    <t>2.5</t>
  </si>
  <si>
    <t>54.07.260</t>
  </si>
  <si>
    <t>Piso em ladrilho hidráulico cinza (9 QUADRADOS), assentado com argamassa mista</t>
  </si>
  <si>
    <t>2.6</t>
  </si>
  <si>
    <t>30.04.030</t>
  </si>
  <si>
    <t>2.7</t>
  </si>
  <si>
    <t>30.04.070</t>
  </si>
  <si>
    <t>Rejuntamento de piso em ladrilho hidráulico (25x25x2,5cm) com argamassa industrializada para rejunte, juntas de 2 mm</t>
  </si>
  <si>
    <t>2.8</t>
  </si>
  <si>
    <t>13.05.110</t>
  </si>
  <si>
    <t>Pré-laje em painel pré-fabricado treliçado, H= 12 cm( 7 TAMPAS BOCAS DE LOBO )</t>
  </si>
  <si>
    <t>SUBSTITUIÇÃO DE TAMPA DE CONCRETO PARA BOCA DE LOBO</t>
  </si>
  <si>
    <t>UN</t>
  </si>
  <si>
    <t>2.9</t>
  </si>
  <si>
    <t>09.02.120</t>
  </si>
  <si>
    <t>Forma ripada de 5 cm na vertical</t>
  </si>
  <si>
    <t>2.10</t>
  </si>
  <si>
    <t>11.01.260</t>
  </si>
  <si>
    <t>Concreto usinado, fck = 20,0 Mpa- para bombeamento ( contrapiso 7 cm)</t>
  </si>
  <si>
    <t>2.11</t>
  </si>
  <si>
    <t>10.01.040</t>
  </si>
  <si>
    <t>kg</t>
  </si>
  <si>
    <t>2.12</t>
  </si>
  <si>
    <t>FDE</t>
  </si>
  <si>
    <t>16.05.048</t>
  </si>
  <si>
    <t>Tc-11 tampa de concreto pre-moldada perf. p/ canaleta l=35cm</t>
  </si>
  <si>
    <t>un</t>
  </si>
  <si>
    <t>2.13</t>
  </si>
  <si>
    <t>2.14</t>
  </si>
  <si>
    <t>11.16.020</t>
  </si>
  <si>
    <t>Lançamento, espalhamento e adensamento de concreto ou massa em lastro e/ou enchimento</t>
  </si>
  <si>
    <t>2.15</t>
  </si>
  <si>
    <t>11.01.130</t>
  </si>
  <si>
    <t>Concreto usinado, fck = 25 Mpa (floreiras)</t>
  </si>
  <si>
    <t>2.16</t>
  </si>
  <si>
    <t>34.01.010</t>
  </si>
  <si>
    <t>Terra vegetal orgânica comum</t>
  </si>
  <si>
    <t>3</t>
  </si>
  <si>
    <t>ELEMENTOS METÁLICOS / MADEIRA</t>
  </si>
  <si>
    <t>3.1</t>
  </si>
  <si>
    <t>15.20.020</t>
  </si>
  <si>
    <t>Fornecimento de peças diversas para estrutura em madeira ( assento bancos) 6cm espessura</t>
  </si>
  <si>
    <t>3.2</t>
  </si>
  <si>
    <t>15.03.110</t>
  </si>
  <si>
    <t>3.3</t>
  </si>
  <si>
    <t>06.03.101</t>
  </si>
  <si>
    <t>CO-35 CORRIMÃO DUPLO COM MONTANTE VERTICAL AÇO GALVANIZADO COM PINTURA ESMALTE</t>
  </si>
  <si>
    <t>3.4</t>
  </si>
  <si>
    <t>SINAPI</t>
  </si>
  <si>
    <t>LIXEIRA  DUPLA, COM CAPACIDADE VOLUMETRICA DE 60L*, FABRICADA EM TUBO DE ACO 
CARBONO, CESTOS EM CHAPA DE ACO E PINTURA NO PROCESSO ELETROSTATICO</t>
  </si>
  <si>
    <t>4</t>
  </si>
  <si>
    <t>INSTALAÇÕES ELÉTRICAS</t>
  </si>
  <si>
    <t>4.1</t>
  </si>
  <si>
    <t>ELETRODUTO FLEXÍVEL CORRUGADO, PEAD, DN63 (/2"), PARA REDE ENTERRADA DE DISTRIBUIÇÃO DE ENERGIA ELÉTRICA - FORNECIMENTO E INSTALAÇÃO</t>
  </si>
  <si>
    <t>4.2</t>
  </si>
  <si>
    <t>09.06.025</t>
  </si>
  <si>
    <t>Caixa de passagem em alvenaria de 0,40x0,40x0,40 m</t>
  </si>
  <si>
    <t>5</t>
  </si>
  <si>
    <t>SERVIÇOS COMPLEMENTARES/PAISAGISMO</t>
  </si>
  <si>
    <t>5.1</t>
  </si>
  <si>
    <t>02.03.260</t>
  </si>
  <si>
    <t>Tapume fixo em painel OSB - espessura 10 mm</t>
  </si>
  <si>
    <t>5.2</t>
  </si>
  <si>
    <t>05.07.040</t>
  </si>
  <si>
    <t>Remoção de entulho separado de obra com caçamba metálica - terra, alvenaria, concreto, argamassa, madeira, papel, plástico ou metal</t>
  </si>
  <si>
    <t>5.3</t>
  </si>
  <si>
    <t>5.4</t>
  </si>
  <si>
    <t>03.16.010</t>
  </si>
  <si>
    <t>Remoção de sinalização horizontal existente</t>
  </si>
  <si>
    <t>5.5</t>
  </si>
  <si>
    <t>46.02.070</t>
  </si>
  <si>
    <t>Tubo de PVC rígido branco PxB com virola e anel de borracha, linha esgoto série normal, DN= 100 mm, inclusive conexões (TUBOS PRÉDIOS EXISTENTES)</t>
  </si>
  <si>
    <t>5.6</t>
  </si>
  <si>
    <t>16.05.045</t>
  </si>
  <si>
    <t>Tc-08 tampa em grelha de ferro galvanizado p/ canaleta (35cm)</t>
  </si>
  <si>
    <t>M</t>
  </si>
  <si>
    <t>5.7</t>
  </si>
  <si>
    <t xml:space="preserve">46.26.020 </t>
  </si>
  <si>
    <t>Tubo em ferro fundido com ponta e ponta, predial SMU, DN= 75 mm (fradinho) 48 peças de 1.00 m</t>
  </si>
  <si>
    <t>5.8</t>
  </si>
  <si>
    <t xml:space="preserve">11.05.040 </t>
  </si>
  <si>
    <t>Argamassa graute (fradinho)</t>
  </si>
  <si>
    <t>5.9</t>
  </si>
  <si>
    <t>Verniz em superfície de madeira</t>
  </si>
  <si>
    <t>5.10</t>
  </si>
  <si>
    <t>34.02.070</t>
  </si>
  <si>
    <t>Forração com Lírio Amarelo, mínimo 18 mudas / m² - h= 0,50 m</t>
  </si>
  <si>
    <t>5.11</t>
  </si>
  <si>
    <t>34.04.130</t>
  </si>
  <si>
    <t>Árvore ornamental tipo Ipê Amarelo - h= 2,00 m</t>
  </si>
  <si>
    <t>5.12</t>
  </si>
  <si>
    <t>34.03.020</t>
  </si>
  <si>
    <t>Arbusto Azaléa - h= 0,60 a 0,80 m</t>
  </si>
  <si>
    <t>5.13</t>
  </si>
  <si>
    <t>34.03.120</t>
  </si>
  <si>
    <t>Arbusto Moréia - h= 0,50 m</t>
  </si>
  <si>
    <t>5.14</t>
  </si>
  <si>
    <t>34.04.360</t>
  </si>
  <si>
    <t>Árvore ornamental tipo coqueiro Jerivá - h= 4,00 m</t>
  </si>
  <si>
    <t>5.15</t>
  </si>
  <si>
    <t>02.03.060</t>
  </si>
  <si>
    <t>Proteção de fachada com tela de nylon</t>
  </si>
  <si>
    <t>floreiras área</t>
  </si>
  <si>
    <t>floreiras volume</t>
  </si>
  <si>
    <t>BANCO ACO</t>
  </si>
  <si>
    <t>1/2” 99,7KG/M²</t>
  </si>
  <si>
    <t>ASTM A-36</t>
  </si>
  <si>
    <t>área prolongada</t>
  </si>
  <si>
    <t>CRONOGRAMA FÍSICO FINANCEIRO</t>
  </si>
  <si>
    <t>OBRA</t>
  </si>
  <si>
    <t xml:space="preserve"> Valorização do Centro Histórico de Jahu  -parte 2 – Continuidade da última etapa do Boulevard</t>
  </si>
  <si>
    <t>LOCAL</t>
  </si>
  <si>
    <t>Rua Major Prado, trecho localizado entre a Rua Amaral Gurgel e Rua Visconde do Rio Branco, em Jahu - SP.</t>
  </si>
  <si>
    <t>ETAPAS DA OBRA</t>
  </si>
  <si>
    <t>%</t>
  </si>
  <si>
    <t>1º MÊS</t>
  </si>
  <si>
    <t>2º MÊS</t>
  </si>
  <si>
    <t>3º MÊS</t>
  </si>
  <si>
    <t>4º MÊS</t>
  </si>
  <si>
    <t>5º MÊS</t>
  </si>
  <si>
    <t>6º MÊS</t>
  </si>
  <si>
    <t>SUBTOTAL</t>
  </si>
  <si>
    <t xml:space="preserve"> R($)</t>
  </si>
  <si>
    <t>R($)</t>
  </si>
  <si>
    <t xml:space="preserve"> </t>
  </si>
  <si>
    <t>70.02.014</t>
  </si>
  <si>
    <t>Sinalização horizontal em massa termoplástica à quente por aspersão, espessura de 1,5 mm, para faixas</t>
  </si>
  <si>
    <t>TOTAL DA ETAPA 5</t>
  </si>
  <si>
    <t>TOTAL DA ETAPA 4</t>
  </si>
  <si>
    <t>TOTAL DA ETAPA 3</t>
  </si>
  <si>
    <t>TOTAL DA ETAPA 2</t>
  </si>
  <si>
    <t>TOTAL DA ETAPA 1</t>
  </si>
  <si>
    <t xml:space="preserve">TOTAL GERAL </t>
  </si>
  <si>
    <t>BDI = 23,65%</t>
  </si>
  <si>
    <t xml:space="preserve">TOTAL DAS ETAPAS </t>
  </si>
  <si>
    <r>
      <t>DATA DA ELABORAÇÃO:</t>
    </r>
    <r>
      <rPr>
        <sz val="11"/>
        <rFont val="Arial"/>
        <family val="2"/>
      </rPr>
      <t xml:space="preserve"> 29/09/2022</t>
    </r>
  </si>
  <si>
    <t>Fornecimento e montagem de estrutura em aço patinável (estrutura de aço dos bancos)</t>
  </si>
  <si>
    <t>PREÇO UNITÁRIO(R$)</t>
  </si>
  <si>
    <t>VALOR TOTAL  ( R$)</t>
  </si>
  <si>
    <t>33.05.330</t>
  </si>
  <si>
    <t xml:space="preserve">Armadura em barra de aço CA-50 (A ou B) fyk = 500 Mpa                      (comprimento das floreiras) </t>
  </si>
  <si>
    <t xml:space="preserve">Piso em ladrilho hidráulico podotátil várias cores (25x25x2,5cm), assentado com argamassa mista ( + 5% para perdas) </t>
  </si>
  <si>
    <t xml:space="preserve">SUBTOTAL </t>
  </si>
  <si>
    <t>BDI 23,65%</t>
  </si>
  <si>
    <r>
      <t xml:space="preserve">FONTE: </t>
    </r>
    <r>
      <rPr>
        <sz val="11"/>
        <rFont val="Arial"/>
        <family val="2"/>
      </rPr>
      <t xml:space="preserve"> SINAPI 17/11/2022 sem desoneração ,  FDE 4/2023 e CDHU 189 sem desoneração.</t>
    </r>
  </si>
  <si>
    <t>11.01.160</t>
  </si>
  <si>
    <t>Concreto usinado, fck = 30 MPa</t>
  </si>
  <si>
    <t xml:space="preserve"> Jahu, 05 de junho de 2023.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</si>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</sst>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&quot;#,##0.00\ ;&quot; R$(&quot;#,##0.00\);&quot; R$-&quot;#\ ;@\ "/>
    <numFmt numFmtId="165" formatCode="_(* #,##0.00_);_(* \(#,##0.00\);_(* \-??_);_(@_)"/>
    <numFmt numFmtId="166" formatCode="#,##0.00\ ;&quot; (&quot;#,##0.00\);&quot; -&quot;#\ ;@\ "/>
    <numFmt numFmtId="167" formatCode="00\.00\.00"/>
    <numFmt numFmtId="168" formatCode="0.000%"/>
    <numFmt numFmtId="169" formatCode="_(&quot;R$ &quot;* #,##0.00_);_(&quot;R$ &quot;* \(#,##0.00\);_(&quot;R$ &quot;* \-??_);_(@_)"/>
    <numFmt numFmtId="170" formatCode="00\-00\-00"/>
    <numFmt numFmtId="171" formatCode="#,##0.0000"/>
    <numFmt numFmtId="172" formatCode="[$R$-416]\ #,##0.00;[Red]\-[$R$-416]\ #,##0.00"/>
    <numFmt numFmtId="173" formatCode="[$R$-416]\ #,##0.00\ ;\-[$R$-416]\ #,##0.00\ ;[$R$-416]&quot; -&quot;#\ ;@\ "/>
    <numFmt numFmtId="174" formatCode="mm/yy"/>
    <numFmt numFmtId="175" formatCode="&quot;R$ &quot;#,##0.00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0.0%"/>
    <numFmt numFmtId="181" formatCode="#,##0.000\ ;&quot; (&quot;#,##0.000\);&quot; -&quot;#.0\ ;@\ "/>
    <numFmt numFmtId="182" formatCode="#,##0.0000\ ;&quot; (&quot;#,##0.0000\);&quot; -&quot;#.00\ ;@\ "/>
    <numFmt numFmtId="183" formatCode="0.000"/>
    <numFmt numFmtId="184" formatCode="#,##0.00\ ;\(#,##0.00\);\-#\ ;@\ "/>
    <numFmt numFmtId="185" formatCode="d/m/yyyy"/>
    <numFmt numFmtId="186" formatCode="#,##0.00\ ;\-#,##0.00\ ;&quot; -&quot;#\ ;@\ "/>
    <numFmt numFmtId="187" formatCode="#,###.00"/>
    <numFmt numFmtId="188" formatCode="&quot; R$ &quot;#,##0.00\ ;&quot;-R$ &quot;#,##0.00\ ;&quot; R$ -&quot;#\ ;@\ "/>
    <numFmt numFmtId="189" formatCode="[$R$-416]\ #,##0.00;\-[$R$-416]\ #,##0.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Border="0" applyProtection="0">
      <alignment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1" fillId="32" borderId="0" applyNumberFormat="0" applyBorder="0" applyAlignment="0" applyProtection="0"/>
    <xf numFmtId="0" fontId="52" fillId="21" borderId="5" applyNumberFormat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66" fontId="1" fillId="0" borderId="0">
      <alignment/>
      <protection/>
    </xf>
    <xf numFmtId="166" fontId="1" fillId="0" borderId="0">
      <alignment/>
      <protection/>
    </xf>
  </cellStyleXfs>
  <cellXfs count="136">
    <xf numFmtId="0" fontId="0" fillId="0" borderId="0" xfId="0" applyAlignment="1">
      <alignment/>
    </xf>
    <xf numFmtId="0" fontId="0" fillId="0" borderId="0" xfId="45" applyFont="1" applyAlignment="1">
      <alignment vertical="center"/>
      <protection/>
    </xf>
    <xf numFmtId="0" fontId="0" fillId="0" borderId="0" xfId="45" applyFont="1" applyAlignment="1">
      <alignment horizontal="justify" vertical="center"/>
      <protection/>
    </xf>
    <xf numFmtId="0" fontId="0" fillId="0" borderId="0" xfId="45" applyFont="1" applyAlignment="1">
      <alignment horizontal="center" vertical="center"/>
      <protection/>
    </xf>
    <xf numFmtId="0" fontId="1" fillId="0" borderId="0" xfId="45">
      <alignment/>
      <protection/>
    </xf>
    <xf numFmtId="0" fontId="2" fillId="0" borderId="0" xfId="67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67" applyNumberFormat="1" applyFont="1" applyFill="1" applyBorder="1" applyAlignment="1" applyProtection="1">
      <alignment horizontal="center" vertical="center" wrapText="1"/>
      <protection/>
    </xf>
    <xf numFmtId="0" fontId="4" fillId="0" borderId="0" xfId="67" applyNumberFormat="1" applyFont="1" applyFill="1" applyBorder="1" applyAlignment="1" applyProtection="1">
      <alignment horizontal="left" vertical="center" wrapText="1"/>
      <protection/>
    </xf>
    <xf numFmtId="0" fontId="5" fillId="0" borderId="0" xfId="45" applyNumberFormat="1" applyFont="1" applyFill="1" applyBorder="1">
      <alignment/>
      <protection/>
    </xf>
    <xf numFmtId="0" fontId="5" fillId="0" borderId="0" xfId="67" applyNumberFormat="1" applyFont="1" applyFill="1" applyBorder="1" applyAlignment="1" applyProtection="1">
      <alignment vertical="center"/>
      <protection/>
    </xf>
    <xf numFmtId="0" fontId="4" fillId="0" borderId="0" xfId="67" applyNumberFormat="1" applyFont="1" applyFill="1" applyBorder="1" applyAlignment="1" applyProtection="1">
      <alignment horizontal="left" vertical="center"/>
      <protection/>
    </xf>
    <xf numFmtId="0" fontId="4" fillId="0" borderId="0" xfId="67" applyNumberFormat="1" applyFont="1" applyFill="1" applyBorder="1" applyAlignment="1" applyProtection="1">
      <alignment horizontal="center" vertical="center"/>
      <protection/>
    </xf>
    <xf numFmtId="3" fontId="4" fillId="33" borderId="10" xfId="45" applyNumberFormat="1" applyFont="1" applyFill="1" applyBorder="1" applyAlignment="1">
      <alignment horizontal="center" vertical="center"/>
      <protection/>
    </xf>
    <xf numFmtId="49" fontId="4" fillId="33" borderId="10" xfId="45" applyNumberFormat="1" applyFont="1" applyFill="1" applyBorder="1" applyAlignment="1">
      <alignment horizontal="center" vertical="center"/>
      <protection/>
    </xf>
    <xf numFmtId="49" fontId="5" fillId="34" borderId="10" xfId="45" applyNumberFormat="1" applyFont="1" applyFill="1" applyBorder="1" applyAlignment="1">
      <alignment horizontal="center" vertical="center"/>
      <protection/>
    </xf>
    <xf numFmtId="0" fontId="5" fillId="34" borderId="10" xfId="45" applyFont="1" applyFill="1" applyBorder="1" applyAlignment="1">
      <alignment horizontal="center" vertical="center" wrapText="1"/>
      <protection/>
    </xf>
    <xf numFmtId="0" fontId="5" fillId="34" borderId="10" xfId="45" applyFont="1" applyFill="1" applyBorder="1" applyAlignment="1">
      <alignment horizontal="justify" vertical="center" wrapText="1"/>
      <protection/>
    </xf>
    <xf numFmtId="0" fontId="5" fillId="34" borderId="10" xfId="45" applyFont="1" applyFill="1" applyBorder="1" applyAlignment="1">
      <alignment horizontal="center" vertical="center"/>
      <protection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0" xfId="67" applyNumberFormat="1" applyFont="1" applyFill="1" applyBorder="1" applyAlignment="1" applyProtection="1">
      <alignment horizontal="center" vertical="center"/>
      <protection/>
    </xf>
    <xf numFmtId="0" fontId="1" fillId="0" borderId="0" xfId="45" applyFill="1">
      <alignment/>
      <protection/>
    </xf>
    <xf numFmtId="0" fontId="0" fillId="0" borderId="0" xfId="0" applyFill="1" applyAlignment="1">
      <alignment/>
    </xf>
    <xf numFmtId="4" fontId="4" fillId="0" borderId="10" xfId="67" applyNumberFormat="1" applyFont="1" applyFill="1" applyBorder="1" applyAlignment="1" applyProtection="1">
      <alignment horizontal="center" vertical="center"/>
      <protection/>
    </xf>
    <xf numFmtId="169" fontId="1" fillId="0" borderId="0" xfId="45" applyNumberFormat="1">
      <alignment/>
      <protection/>
    </xf>
    <xf numFmtId="0" fontId="1" fillId="0" borderId="0" xfId="45" applyFill="1" applyBorder="1">
      <alignment/>
      <protection/>
    </xf>
    <xf numFmtId="4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171" fontId="9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 horizontal="center"/>
    </xf>
    <xf numFmtId="4" fontId="1" fillId="0" borderId="0" xfId="45" applyNumberFormat="1" applyFill="1">
      <alignment/>
      <protection/>
    </xf>
    <xf numFmtId="0" fontId="1" fillId="0" borderId="0" xfId="45" applyNumberFormat="1">
      <alignment/>
      <protection/>
    </xf>
    <xf numFmtId="172" fontId="4" fillId="0" borderId="10" xfId="67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45" applyFont="1" applyFill="1" applyBorder="1" applyAlignment="1">
      <alignment horizontal="justify" vertical="center" wrapText="1"/>
      <protection/>
    </xf>
    <xf numFmtId="4" fontId="5" fillId="0" borderId="0" xfId="45" applyNumberFormat="1" applyFont="1" applyFill="1" applyBorder="1" applyAlignment="1">
      <alignment vertical="center"/>
      <protection/>
    </xf>
    <xf numFmtId="0" fontId="10" fillId="0" borderId="0" xfId="45" applyFont="1" applyAlignment="1">
      <alignment horizontal="center" vertical="center"/>
      <protection/>
    </xf>
    <xf numFmtId="0" fontId="10" fillId="0" borderId="0" xfId="45" applyFont="1" applyAlignment="1">
      <alignment horizontal="justify" vertical="center"/>
      <protection/>
    </xf>
    <xf numFmtId="0" fontId="0" fillId="0" borderId="0" xfId="45" applyFont="1" applyBorder="1" applyAlignment="1">
      <alignment horizontal="center" vertical="center"/>
      <protection/>
    </xf>
    <xf numFmtId="4" fontId="10" fillId="0" borderId="0" xfId="45" applyNumberFormat="1" applyFont="1" applyAlignment="1">
      <alignment horizontal="center" vertical="center"/>
      <protection/>
    </xf>
    <xf numFmtId="173" fontId="0" fillId="0" borderId="0" xfId="67" applyNumberFormat="1" applyFont="1" applyFill="1" applyBorder="1" applyAlignment="1" applyProtection="1">
      <alignment horizontal="center" vertical="center"/>
      <protection/>
    </xf>
    <xf numFmtId="4" fontId="6" fillId="0" borderId="10" xfId="67" applyNumberFormat="1" applyFont="1" applyFill="1" applyBorder="1" applyAlignment="1" applyProtection="1">
      <alignment horizontal="justify" vertical="center"/>
      <protection/>
    </xf>
    <xf numFmtId="0" fontId="0" fillId="0" borderId="0" xfId="0" applyAlignment="1">
      <alignment horizontal="justify"/>
    </xf>
    <xf numFmtId="173" fontId="0" fillId="0" borderId="0" xfId="45" applyNumberFormat="1" applyFont="1" applyAlignment="1">
      <alignment horizontal="center" vertical="center"/>
      <protection/>
    </xf>
    <xf numFmtId="0" fontId="11" fillId="0" borderId="0" xfId="45" applyFont="1" applyAlignment="1">
      <alignment horizontal="justify"/>
      <protection/>
    </xf>
    <xf numFmtId="0" fontId="0" fillId="34" borderId="0" xfId="45" applyFont="1" applyFill="1" applyBorder="1" applyAlignment="1">
      <alignment horizontal="justify" vertical="center" wrapText="1"/>
      <protection/>
    </xf>
    <xf numFmtId="0" fontId="13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14" fillId="0" borderId="0" xfId="52" applyFont="1" applyBorder="1" applyAlignment="1">
      <alignment horizontal="center"/>
      <protection/>
    </xf>
    <xf numFmtId="0" fontId="14" fillId="0" borderId="0" xfId="52" applyNumberFormat="1" applyFont="1" applyBorder="1" applyAlignment="1">
      <alignment horizontal="left"/>
      <protection/>
    </xf>
    <xf numFmtId="0" fontId="15" fillId="0" borderId="0" xfId="52" applyFont="1" applyBorder="1" applyAlignment="1">
      <alignment horizontal="center"/>
      <protection/>
    </xf>
    <xf numFmtId="174" fontId="16" fillId="0" borderId="10" xfId="0" applyNumberFormat="1" applyFont="1" applyFill="1" applyBorder="1" applyAlignment="1">
      <alignment horizontal="center" vertical="center"/>
    </xf>
    <xf numFmtId="167" fontId="7" fillId="35" borderId="10" xfId="0" applyNumberFormat="1" applyFont="1" applyFill="1" applyBorder="1" applyAlignment="1">
      <alignment horizontal="right" vertical="center"/>
    </xf>
    <xf numFmtId="167" fontId="7" fillId="35" borderId="10" xfId="0" applyNumberFormat="1" applyFont="1" applyFill="1" applyBorder="1" applyAlignment="1">
      <alignment horizontal="left" vertical="center"/>
    </xf>
    <xf numFmtId="0" fontId="7" fillId="35" borderId="10" xfId="52" applyFont="1" applyFill="1" applyBorder="1" applyAlignment="1">
      <alignment horizontal="center" vertical="center"/>
      <protection/>
    </xf>
    <xf numFmtId="0" fontId="11" fillId="0" borderId="0" xfId="45" applyFont="1" applyAlignment="1">
      <alignment vertical="center"/>
      <protection/>
    </xf>
    <xf numFmtId="0" fontId="7" fillId="35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45" applyFont="1" applyAlignment="1">
      <alignment vertical="center"/>
      <protection/>
    </xf>
    <xf numFmtId="0" fontId="4" fillId="0" borderId="14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/>
      <protection/>
    </xf>
    <xf numFmtId="1" fontId="5" fillId="35" borderId="10" xfId="52" applyNumberFormat="1" applyFont="1" applyFill="1" applyBorder="1" applyAlignment="1">
      <alignment horizontal="center" vertical="center"/>
      <protection/>
    </xf>
    <xf numFmtId="167" fontId="5" fillId="35" borderId="10" xfId="52" applyNumberFormat="1" applyFont="1" applyFill="1" applyBorder="1" applyAlignment="1">
      <alignment horizontal="left" vertical="center"/>
      <protection/>
    </xf>
    <xf numFmtId="10" fontId="5" fillId="35" borderId="10" xfId="58" applyNumberFormat="1" applyFont="1" applyFill="1" applyBorder="1" applyAlignment="1" applyProtection="1">
      <alignment horizontal="center" vertical="center"/>
      <protection/>
    </xf>
    <xf numFmtId="4" fontId="5" fillId="35" borderId="10" xfId="58" applyNumberFormat="1" applyFont="1" applyFill="1" applyBorder="1" applyAlignment="1" applyProtection="1">
      <alignment horizontal="center" vertical="center"/>
      <protection/>
    </xf>
    <xf numFmtId="4" fontId="5" fillId="35" borderId="10" xfId="52" applyNumberFormat="1" applyFont="1" applyFill="1" applyBorder="1" applyAlignment="1">
      <alignment horizontal="center" vertical="center"/>
      <protection/>
    </xf>
    <xf numFmtId="1" fontId="18" fillId="0" borderId="10" xfId="52" applyNumberFormat="1" applyFont="1" applyFill="1" applyBorder="1" applyAlignment="1">
      <alignment horizontal="center" vertical="center"/>
      <protection/>
    </xf>
    <xf numFmtId="0" fontId="18" fillId="0" borderId="10" xfId="52" applyFont="1" applyBorder="1" applyAlignment="1">
      <alignment horizontal="left" vertical="center"/>
      <protection/>
    </xf>
    <xf numFmtId="10" fontId="18" fillId="0" borderId="10" xfId="58" applyNumberFormat="1" applyFont="1" applyFill="1" applyBorder="1" applyAlignment="1" applyProtection="1">
      <alignment horizontal="center" vertical="center"/>
      <protection locked="0"/>
    </xf>
    <xf numFmtId="10" fontId="18" fillId="0" borderId="10" xfId="52" applyNumberFormat="1" applyFont="1" applyBorder="1" applyAlignment="1">
      <alignment horizontal="center" vertical="center"/>
      <protection/>
    </xf>
    <xf numFmtId="0" fontId="19" fillId="0" borderId="0" xfId="45" applyFont="1" applyAlignment="1">
      <alignment vertical="center"/>
      <protection/>
    </xf>
    <xf numFmtId="1" fontId="20" fillId="0" borderId="10" xfId="52" applyNumberFormat="1" applyFont="1" applyFill="1" applyBorder="1" applyAlignment="1">
      <alignment horizontal="center" vertical="center"/>
      <protection/>
    </xf>
    <xf numFmtId="0" fontId="1" fillId="0" borderId="0" xfId="45" applyAlignment="1">
      <alignment vertical="center"/>
      <protection/>
    </xf>
    <xf numFmtId="9" fontId="4" fillId="36" borderId="10" xfId="58" applyNumberFormat="1" applyFont="1" applyFill="1" applyBorder="1" applyAlignment="1" applyProtection="1">
      <alignment horizontal="center" vertical="center"/>
      <protection/>
    </xf>
    <xf numFmtId="175" fontId="4" fillId="36" borderId="10" xfId="52" applyNumberFormat="1" applyFont="1" applyFill="1" applyBorder="1" applyAlignment="1">
      <alignment horizontal="center" vertical="center"/>
      <protection/>
    </xf>
    <xf numFmtId="175" fontId="4" fillId="36" borderId="10" xfId="52" applyNumberFormat="1" applyFont="1" applyFill="1" applyBorder="1" applyAlignment="1">
      <alignment vertical="center"/>
      <protection/>
    </xf>
    <xf numFmtId="0" fontId="21" fillId="0" borderId="0" xfId="52" applyFont="1" applyAlignment="1">
      <alignment vertical="center"/>
      <protection/>
    </xf>
    <xf numFmtId="165" fontId="21" fillId="0" borderId="0" xfId="58" applyFont="1" applyFill="1" applyBorder="1" applyAlignment="1" applyProtection="1">
      <alignment vertical="center"/>
      <protection/>
    </xf>
    <xf numFmtId="0" fontId="21" fillId="0" borderId="0" xfId="52" applyFont="1" applyFill="1" applyAlignment="1">
      <alignment vertical="center"/>
      <protection/>
    </xf>
    <xf numFmtId="175" fontId="7" fillId="0" borderId="0" xfId="52" applyNumberFormat="1" applyFont="1" applyFill="1" applyBorder="1" applyAlignment="1">
      <alignment horizontal="center" vertical="center"/>
      <protection/>
    </xf>
    <xf numFmtId="175" fontId="21" fillId="0" borderId="0" xfId="52" applyNumberFormat="1" applyFont="1" applyAlignment="1">
      <alignment vertical="center"/>
      <protection/>
    </xf>
    <xf numFmtId="0" fontId="0" fillId="0" borderId="0" xfId="52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 horizontal="center"/>
      <protection/>
    </xf>
    <xf numFmtId="4" fontId="0" fillId="0" borderId="0" xfId="52" applyNumberFormat="1" applyAlignment="1">
      <alignment horizontal="center"/>
      <protection/>
    </xf>
    <xf numFmtId="4" fontId="17" fillId="0" borderId="0" xfId="45" applyNumberFormat="1" applyFont="1" applyAlignment="1">
      <alignment vertical="center"/>
      <protection/>
    </xf>
    <xf numFmtId="2" fontId="1" fillId="0" borderId="0" xfId="45" applyNumberFormat="1">
      <alignment/>
      <protection/>
    </xf>
    <xf numFmtId="4" fontId="1" fillId="0" borderId="0" xfId="45" applyNumberFormat="1">
      <alignment/>
      <protection/>
    </xf>
    <xf numFmtId="4" fontId="1" fillId="0" borderId="0" xfId="45" applyNumberFormat="1" applyAlignment="1">
      <alignment vertical="center"/>
      <protection/>
    </xf>
    <xf numFmtId="172" fontId="4" fillId="37" borderId="0" xfId="54" applyNumberFormat="1" applyFont="1" applyFill="1" applyAlignment="1">
      <alignment horizontal="center"/>
    </xf>
    <xf numFmtId="49" fontId="5" fillId="27" borderId="10" xfId="45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4" fillId="33" borderId="10" xfId="45" applyFont="1" applyFill="1" applyBorder="1" applyAlignment="1">
      <alignment horizontal="justify" vertical="center" wrapText="1"/>
      <protection/>
    </xf>
    <xf numFmtId="0" fontId="4" fillId="0" borderId="10" xfId="0" applyFont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0" fontId="4" fillId="0" borderId="15" xfId="0" applyNumberFormat="1" applyFont="1" applyFill="1" applyBorder="1" applyAlignment="1">
      <alignment horizontal="right" vertical="center"/>
    </xf>
    <xf numFmtId="10" fontId="4" fillId="0" borderId="16" xfId="0" applyNumberFormat="1" applyFont="1" applyFill="1" applyBorder="1" applyAlignment="1">
      <alignment horizontal="right" vertical="center"/>
    </xf>
    <xf numFmtId="0" fontId="4" fillId="37" borderId="15" xfId="0" applyFont="1" applyFill="1" applyBorder="1" applyAlignment="1">
      <alignment horizontal="right" vertical="center"/>
    </xf>
    <xf numFmtId="0" fontId="4" fillId="37" borderId="16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8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33" borderId="10" xfId="45" applyFont="1" applyFill="1" applyBorder="1" applyAlignment="1">
      <alignment horizontal="justify" vertical="center"/>
      <protection/>
    </xf>
    <xf numFmtId="0" fontId="4" fillId="0" borderId="0" xfId="67" applyNumberFormat="1" applyFont="1" applyFill="1" applyBorder="1" applyAlignment="1" applyProtection="1">
      <alignment horizontal="left" vertical="center" wrapText="1"/>
      <protection/>
    </xf>
    <xf numFmtId="167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0" borderId="0" xfId="67" applyNumberFormat="1" applyFont="1" applyFill="1" applyBorder="1" applyAlignment="1" applyProtection="1">
      <alignment horizontal="left" vertical="center"/>
      <protection/>
    </xf>
    <xf numFmtId="4" fontId="22" fillId="0" borderId="0" xfId="45" applyNumberFormat="1" applyFont="1" applyAlignment="1">
      <alignment horizontal="center" vertical="center"/>
      <protection/>
    </xf>
    <xf numFmtId="0" fontId="2" fillId="0" borderId="0" xfId="67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67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right" vertical="center"/>
      <protection/>
    </xf>
    <xf numFmtId="4" fontId="5" fillId="0" borderId="0" xfId="5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12" fillId="0" borderId="0" xfId="52" applyFont="1" applyBorder="1" applyAlignment="1">
      <alignment horizontal="center" vertical="center"/>
      <protection/>
    </xf>
    <xf numFmtId="174" fontId="4" fillId="36" borderId="10" xfId="0" applyNumberFormat="1" applyFont="1" applyFill="1" applyBorder="1" applyAlignment="1">
      <alignment horizontal="center" vertical="center"/>
    </xf>
    <xf numFmtId="174" fontId="16" fillId="0" borderId="10" xfId="0" applyNumberFormat="1" applyFont="1" applyFill="1" applyBorder="1" applyAlignment="1">
      <alignment horizontal="center" vertical="center"/>
    </xf>
    <xf numFmtId="167" fontId="7" fillId="35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67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Excel Built-in Normal" xfId="45"/>
    <cellStyle name="Hyperlink" xfId="46"/>
    <cellStyle name="Followed Hyperlink" xfId="47"/>
    <cellStyle name="Currency" xfId="48"/>
    <cellStyle name="Currency [0]" xfId="49"/>
    <cellStyle name="Moeda 2" xfId="50"/>
    <cellStyle name="Neutro" xfId="51"/>
    <cellStyle name="Normal 2" xfId="52"/>
    <cellStyle name="Nota" xfId="53"/>
    <cellStyle name="Percent" xfId="54"/>
    <cellStyle name="Ruim" xfId="55"/>
    <cellStyle name="Saíd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9"/>
  <sheetViews>
    <sheetView tabSelected="1" zoomScale="80" zoomScaleNormal="80" zoomScaleSheetLayoutView="95" zoomScalePageLayoutView="0" workbookViewId="0" topLeftCell="A1">
      <selection activeCell="AE17" sqref="AE17"/>
    </sheetView>
  </sheetViews>
  <sheetFormatPr defaultColWidth="12.7109375" defaultRowHeight="12.75"/>
  <cols>
    <col min="1" max="1" width="7.7109375" style="0" customWidth="1"/>
    <col min="2" max="2" width="9.421875" style="0" customWidth="1"/>
    <col min="3" max="3" width="14.00390625" style="1" customWidth="1"/>
    <col min="4" max="4" width="76.7109375" style="2" customWidth="1"/>
    <col min="5" max="5" width="9.00390625" style="1" customWidth="1"/>
    <col min="6" max="6" width="12.8515625" style="3" customWidth="1"/>
    <col min="7" max="7" width="11.00390625" style="3" customWidth="1"/>
    <col min="8" max="8" width="16.421875" style="3" customWidth="1"/>
    <col min="9" max="9" width="10.140625" style="4" hidden="1" customWidth="1"/>
    <col min="10" max="10" width="10.8515625" style="4" hidden="1" customWidth="1"/>
    <col min="11" max="12" width="8.421875" style="4" hidden="1" customWidth="1"/>
    <col min="13" max="13" width="9.57421875" style="4" hidden="1" customWidth="1"/>
    <col min="14" max="14" width="8.421875" style="4" hidden="1" customWidth="1"/>
    <col min="15" max="15" width="8.140625" style="4" hidden="1" customWidth="1"/>
    <col min="16" max="16" width="8.8515625" style="4" hidden="1" customWidth="1"/>
    <col min="17" max="17" width="8.7109375" style="4" hidden="1" customWidth="1"/>
    <col min="18" max="25" width="12.7109375" style="4" hidden="1" customWidth="1"/>
    <col min="26" max="244" width="12.7109375" style="4" customWidth="1"/>
  </cols>
  <sheetData>
    <row r="1" spans="1:8" ht="18">
      <c r="A1" s="119"/>
      <c r="B1" s="119"/>
      <c r="C1" s="119"/>
      <c r="D1" s="119"/>
      <c r="E1" s="5"/>
      <c r="F1" s="5"/>
      <c r="G1" s="5"/>
      <c r="H1" s="5"/>
    </row>
    <row r="2" spans="1:8" ht="20.25">
      <c r="A2" s="6"/>
      <c r="B2" s="6"/>
      <c r="C2" s="6"/>
      <c r="D2" s="6"/>
      <c r="E2" s="6"/>
      <c r="F2" s="6"/>
      <c r="G2" s="6"/>
      <c r="H2" s="6"/>
    </row>
    <row r="3" spans="1:8" ht="20.25">
      <c r="A3" s="6"/>
      <c r="B3" s="6"/>
      <c r="C3" s="6"/>
      <c r="D3" s="6"/>
      <c r="E3" s="6"/>
      <c r="F3" s="6"/>
      <c r="G3" s="6"/>
      <c r="H3" s="6"/>
    </row>
    <row r="4" spans="1:8" ht="20.25">
      <c r="A4" s="6"/>
      <c r="B4" s="6"/>
      <c r="C4" s="6"/>
      <c r="D4" s="6"/>
      <c r="E4" s="6"/>
      <c r="F4" s="6"/>
      <c r="G4" s="6"/>
      <c r="H4" s="6"/>
    </row>
    <row r="5" spans="1:8" ht="20.25">
      <c r="A5" s="6"/>
      <c r="B5" s="6"/>
      <c r="C5" s="6"/>
      <c r="D5" s="6"/>
      <c r="E5" s="6"/>
      <c r="F5" s="6"/>
      <c r="G5" s="6"/>
      <c r="H5" s="6"/>
    </row>
    <row r="6" spans="1:8" ht="20.25">
      <c r="A6" s="120"/>
      <c r="B6" s="120"/>
      <c r="C6" s="120"/>
      <c r="D6" s="120"/>
      <c r="E6" s="120"/>
      <c r="F6" s="120"/>
      <c r="G6" s="120"/>
      <c r="H6" s="120"/>
    </row>
    <row r="7" spans="1:8" ht="15.75" customHeight="1">
      <c r="A7" s="121"/>
      <c r="B7" s="121"/>
      <c r="C7" s="121"/>
      <c r="D7" s="121"/>
      <c r="E7" s="121"/>
      <c r="F7" s="121"/>
      <c r="G7" s="121"/>
      <c r="H7" s="121"/>
    </row>
    <row r="8" spans="1:14" ht="15.7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8" ht="15.75" customHeight="1">
      <c r="A9" s="121" t="s">
        <v>0</v>
      </c>
      <c r="B9" s="121"/>
      <c r="C9" s="121"/>
      <c r="D9" s="121"/>
      <c r="E9" s="121"/>
      <c r="F9" s="121"/>
      <c r="G9" s="121"/>
      <c r="H9" s="121"/>
    </row>
    <row r="10" spans="1:8" ht="15.75" customHeight="1">
      <c r="A10" s="113"/>
      <c r="B10" s="113"/>
      <c r="C10" s="113"/>
      <c r="D10" s="113"/>
      <c r="E10" s="7"/>
      <c r="F10" s="9"/>
      <c r="G10" s="10"/>
      <c r="H10" s="10"/>
    </row>
    <row r="11" spans="1:8" ht="15.75">
      <c r="A11" s="117" t="s">
        <v>1</v>
      </c>
      <c r="B11" s="117"/>
      <c r="C11" s="117"/>
      <c r="D11" s="117"/>
      <c r="E11" s="11"/>
      <c r="F11" s="12"/>
      <c r="G11" s="10"/>
      <c r="H11" s="10"/>
    </row>
    <row r="12" spans="1:8" ht="15.75">
      <c r="A12" s="135" t="s">
        <v>2</v>
      </c>
      <c r="B12" s="135"/>
      <c r="C12" s="135"/>
      <c r="D12" s="135"/>
      <c r="E12" s="11"/>
      <c r="F12" s="12"/>
      <c r="G12" s="10"/>
      <c r="H12" s="10"/>
    </row>
    <row r="13" spans="1:8" ht="15.75" customHeight="1">
      <c r="A13" s="113" t="s">
        <v>3</v>
      </c>
      <c r="B13" s="113"/>
      <c r="C13" s="113"/>
      <c r="D13" s="113"/>
      <c r="E13" s="8"/>
      <c r="F13" s="12"/>
      <c r="G13" s="12"/>
      <c r="H13" s="12"/>
    </row>
    <row r="14" spans="1:8" ht="15.75" customHeight="1">
      <c r="A14" s="113" t="s">
        <v>4</v>
      </c>
      <c r="B14" s="113"/>
      <c r="C14" s="113"/>
      <c r="D14" s="113"/>
      <c r="E14" s="8"/>
      <c r="F14" s="12"/>
      <c r="G14" s="12"/>
      <c r="H14" s="12"/>
    </row>
    <row r="15" spans="1:8" ht="15.75" customHeight="1">
      <c r="A15" s="113" t="s">
        <v>183</v>
      </c>
      <c r="B15" s="113"/>
      <c r="C15" s="113"/>
      <c r="D15" s="113"/>
      <c r="E15" s="8"/>
      <c r="F15" s="12"/>
      <c r="G15" s="12"/>
      <c r="H15" s="12"/>
    </row>
    <row r="16" spans="1:8" ht="15.75" customHeight="1">
      <c r="A16" s="113" t="s">
        <v>192</v>
      </c>
      <c r="B16" s="113"/>
      <c r="C16" s="113"/>
      <c r="D16" s="113"/>
      <c r="E16" s="113"/>
      <c r="F16" s="113"/>
      <c r="G16" s="113"/>
      <c r="H16" s="113"/>
    </row>
    <row r="17" spans="1:8" ht="15">
      <c r="A17" s="114" t="s">
        <v>5</v>
      </c>
      <c r="B17" s="114" t="s">
        <v>6</v>
      </c>
      <c r="C17" s="114" t="s">
        <v>7</v>
      </c>
      <c r="D17" s="115" t="s">
        <v>8</v>
      </c>
      <c r="E17" s="116" t="s">
        <v>9</v>
      </c>
      <c r="F17" s="116" t="s">
        <v>10</v>
      </c>
      <c r="G17" s="122" t="s">
        <v>185</v>
      </c>
      <c r="H17" s="122" t="s">
        <v>186</v>
      </c>
    </row>
    <row r="18" spans="1:8" ht="27" customHeight="1">
      <c r="A18" s="114"/>
      <c r="B18" s="114"/>
      <c r="C18" s="114"/>
      <c r="D18" s="115"/>
      <c r="E18" s="116"/>
      <c r="F18" s="116"/>
      <c r="G18" s="122"/>
      <c r="H18" s="122"/>
    </row>
    <row r="19" spans="1:8" ht="15">
      <c r="A19" s="109"/>
      <c r="B19" s="109"/>
      <c r="C19" s="109"/>
      <c r="D19" s="109"/>
      <c r="E19" s="109"/>
      <c r="F19" s="109"/>
      <c r="G19" s="109"/>
      <c r="H19" s="109"/>
    </row>
    <row r="20" spans="1:8" ht="15.75">
      <c r="A20" s="13">
        <v>1</v>
      </c>
      <c r="B20" s="14"/>
      <c r="C20" s="14"/>
      <c r="D20" s="112" t="s">
        <v>11</v>
      </c>
      <c r="E20" s="112"/>
      <c r="F20" s="112"/>
      <c r="G20" s="112"/>
      <c r="H20" s="112"/>
    </row>
    <row r="21" spans="1:246" s="22" customFormat="1" ht="15">
      <c r="A21" s="99" t="s">
        <v>12</v>
      </c>
      <c r="B21" s="15" t="s">
        <v>13</v>
      </c>
      <c r="C21" s="16" t="s">
        <v>14</v>
      </c>
      <c r="D21" s="17" t="s">
        <v>15</v>
      </c>
      <c r="E21" s="18" t="s">
        <v>16</v>
      </c>
      <c r="F21" s="19">
        <f aca="true" t="shared" si="0" ref="F21:F26">I21</f>
        <v>6</v>
      </c>
      <c r="G21" s="20">
        <v>178.78</v>
      </c>
      <c r="H21" s="21">
        <f aca="true" t="shared" si="1" ref="H21:H26">TRUNC(F21*G21,2)</f>
        <v>1072.68</v>
      </c>
      <c r="I21" s="22">
        <f>2*3</f>
        <v>6</v>
      </c>
      <c r="K21" s="21"/>
      <c r="IK21" s="23"/>
      <c r="IL21" s="23"/>
    </row>
    <row r="22" spans="1:246" s="22" customFormat="1" ht="15">
      <c r="A22" s="99" t="s">
        <v>17</v>
      </c>
      <c r="B22" s="15" t="s">
        <v>13</v>
      </c>
      <c r="C22" s="16" t="s">
        <v>18</v>
      </c>
      <c r="D22" s="17" t="s">
        <v>19</v>
      </c>
      <c r="E22" s="18" t="s">
        <v>20</v>
      </c>
      <c r="F22" s="19">
        <f t="shared" si="0"/>
        <v>6</v>
      </c>
      <c r="G22" s="20">
        <v>775.67</v>
      </c>
      <c r="H22" s="21">
        <f t="shared" si="1"/>
        <v>4654.02</v>
      </c>
      <c r="I22" s="22">
        <f>1*6</f>
        <v>6</v>
      </c>
      <c r="K22" s="21"/>
      <c r="IK22" s="23"/>
      <c r="IL22" s="23"/>
    </row>
    <row r="23" spans="1:9" ht="30">
      <c r="A23" s="99" t="s">
        <v>21</v>
      </c>
      <c r="B23" s="15" t="s">
        <v>13</v>
      </c>
      <c r="C23" s="16" t="s">
        <v>23</v>
      </c>
      <c r="D23" s="17" t="s">
        <v>24</v>
      </c>
      <c r="E23" s="18" t="s">
        <v>16</v>
      </c>
      <c r="F23" s="19">
        <f>I23</f>
        <v>619.4599999999999</v>
      </c>
      <c r="G23" s="20">
        <v>9.74</v>
      </c>
      <c r="H23" s="21">
        <f t="shared" si="1"/>
        <v>6033.54</v>
      </c>
      <c r="I23" s="4">
        <f>226.56+293.78+99.12</f>
        <v>619.4599999999999</v>
      </c>
    </row>
    <row r="24" spans="1:11" ht="30">
      <c r="A24" s="99" t="s">
        <v>22</v>
      </c>
      <c r="B24" s="15" t="s">
        <v>13</v>
      </c>
      <c r="C24" s="16" t="s">
        <v>26</v>
      </c>
      <c r="D24" s="17" t="s">
        <v>27</v>
      </c>
      <c r="E24" s="18" t="s">
        <v>16</v>
      </c>
      <c r="F24" s="19">
        <f t="shared" si="0"/>
        <v>230.82</v>
      </c>
      <c r="G24" s="20">
        <v>28.06</v>
      </c>
      <c r="H24" s="21">
        <f t="shared" si="1"/>
        <v>6476.8</v>
      </c>
      <c r="I24" s="4">
        <f>31.72+56.76+5.75+43.3+14.69+8.74+8.88+11.8+40.52+8.66</f>
        <v>230.82</v>
      </c>
      <c r="K24" s="21"/>
    </row>
    <row r="25" spans="1:13" ht="45">
      <c r="A25" s="99" t="s">
        <v>25</v>
      </c>
      <c r="B25" s="15" t="s">
        <v>13</v>
      </c>
      <c r="C25" s="16" t="s">
        <v>29</v>
      </c>
      <c r="D25" s="17" t="s">
        <v>30</v>
      </c>
      <c r="E25" s="18" t="s">
        <v>16</v>
      </c>
      <c r="F25" s="19">
        <f t="shared" si="0"/>
        <v>74.16999999999999</v>
      </c>
      <c r="G25" s="20">
        <v>27.32</v>
      </c>
      <c r="H25" s="21">
        <f t="shared" si="1"/>
        <v>2026.32</v>
      </c>
      <c r="I25" s="4">
        <f>1.92+10.84+10.84+1.92+3.2+16.38+5.51+4.12+6.98+1.76+4.28+3.86+2.56</f>
        <v>74.16999999999999</v>
      </c>
      <c r="K25" s="21"/>
      <c r="M25" s="4">
        <f>1.92+10.84+10.84+1.92+3.2+16.38+5.51+4.12+6.98+1.76+4.28+3.86+2.56</f>
        <v>74.16999999999999</v>
      </c>
    </row>
    <row r="26" spans="1:21" ht="30">
      <c r="A26" s="99" t="s">
        <v>28</v>
      </c>
      <c r="B26" s="15" t="s">
        <v>13</v>
      </c>
      <c r="C26" s="16" t="s">
        <v>31</v>
      </c>
      <c r="D26" s="17" t="s">
        <v>32</v>
      </c>
      <c r="E26" s="18" t="s">
        <v>33</v>
      </c>
      <c r="F26" s="19">
        <f t="shared" si="0"/>
        <v>15.95</v>
      </c>
      <c r="G26" s="20">
        <v>296.15</v>
      </c>
      <c r="H26" s="21">
        <f t="shared" si="1"/>
        <v>4723.59</v>
      </c>
      <c r="I26" s="4">
        <f>1.84+3.83+2.64+1.78+4*0.18+1.96+3.18</f>
        <v>15.95</v>
      </c>
      <c r="K26" s="21"/>
      <c r="U26" s="96">
        <f>H21+H22+H23+H24+H25+H26</f>
        <v>24986.95</v>
      </c>
    </row>
    <row r="27" spans="1:16" ht="15.75">
      <c r="A27" s="102" t="s">
        <v>179</v>
      </c>
      <c r="B27" s="102"/>
      <c r="C27" s="102"/>
      <c r="D27" s="102"/>
      <c r="E27" s="102"/>
      <c r="F27" s="102"/>
      <c r="G27" s="102"/>
      <c r="H27" s="24">
        <f>SUM(H21:H26)</f>
        <v>24986.95</v>
      </c>
      <c r="I27" s="25"/>
      <c r="P27" s="95">
        <f>TRUNC(25057.07*1.2365,2)</f>
        <v>30983.06</v>
      </c>
    </row>
    <row r="28" spans="1:8" ht="15.75" customHeight="1">
      <c r="A28" s="13">
        <v>2</v>
      </c>
      <c r="B28" s="14"/>
      <c r="C28" s="14"/>
      <c r="D28" s="101" t="s">
        <v>34</v>
      </c>
      <c r="E28" s="101"/>
      <c r="F28" s="101"/>
      <c r="G28" s="101"/>
      <c r="H28" s="101"/>
    </row>
    <row r="29" spans="1:49" ht="15">
      <c r="A29" s="99" t="s">
        <v>35</v>
      </c>
      <c r="B29" s="15" t="s">
        <v>13</v>
      </c>
      <c r="C29" s="16" t="s">
        <v>36</v>
      </c>
      <c r="D29" s="17" t="s">
        <v>37</v>
      </c>
      <c r="E29" s="18" t="s">
        <v>38</v>
      </c>
      <c r="F29" s="19">
        <f>I29</f>
        <v>212.66</v>
      </c>
      <c r="G29" s="20">
        <v>19.42</v>
      </c>
      <c r="H29" s="21">
        <f aca="true" t="shared" si="2" ref="H29:H44">TRUNC(F29*G29,2)</f>
        <v>4129.85</v>
      </c>
      <c r="I29" s="4">
        <f>24.96+56.6+33.81+25.76+25.65+45.88</f>
        <v>212.66</v>
      </c>
      <c r="K29" s="21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1:246" s="22" customFormat="1" ht="17.25" customHeight="1">
      <c r="A30" s="99" t="s">
        <v>39</v>
      </c>
      <c r="B30" s="15" t="s">
        <v>13</v>
      </c>
      <c r="C30" s="16" t="s">
        <v>40</v>
      </c>
      <c r="D30" s="17" t="s">
        <v>41</v>
      </c>
      <c r="E30" s="18" t="s">
        <v>38</v>
      </c>
      <c r="F30" s="19">
        <f>I30</f>
        <v>417.28999999999996</v>
      </c>
      <c r="G30" s="20">
        <v>56.57</v>
      </c>
      <c r="H30" s="21">
        <f t="shared" si="2"/>
        <v>23606.09</v>
      </c>
      <c r="I30" s="22">
        <f>23.4+30.27+2*4+57.98+50.49+6*4+34.01+31.47+4*4+13.76+8.2+4*4+26.55+4*4+45.16+4*4</f>
        <v>417.28999999999996</v>
      </c>
      <c r="K30" s="21"/>
      <c r="L30" s="22">
        <f>23.4+30.27+2*4+57.98+50.49+6*4+34.01+31.47+4*4+13.76+8.2+4*4+26.55+4*4+45.16+4*4</f>
        <v>417.28999999999996</v>
      </c>
      <c r="IK30" s="23"/>
      <c r="IL30" s="23"/>
    </row>
    <row r="31" spans="1:246" s="22" customFormat="1" ht="15">
      <c r="A31" s="99" t="s">
        <v>42</v>
      </c>
      <c r="B31" s="15" t="s">
        <v>13</v>
      </c>
      <c r="C31" s="16" t="s">
        <v>43</v>
      </c>
      <c r="D31" s="17" t="s">
        <v>44</v>
      </c>
      <c r="E31" s="18" t="s">
        <v>33</v>
      </c>
      <c r="F31" s="19">
        <f>I31</f>
        <v>22.6923</v>
      </c>
      <c r="G31" s="20">
        <v>173.29</v>
      </c>
      <c r="H31" s="21">
        <f t="shared" si="2"/>
        <v>3932.34</v>
      </c>
      <c r="I31" s="21">
        <f>(226.56+4.8+28.96+3.85+2.36)*0.03+(16.85+4.8)*0.03+(293.78+17.57+4.8+4.8+3.85+2.26)*0.03+(99.12+3.83+4+26.48+3.92+3.82)*0.03</f>
        <v>22.6923</v>
      </c>
      <c r="K31" s="21"/>
      <c r="IK31" s="23"/>
      <c r="IL31" s="23"/>
    </row>
    <row r="32" spans="1:246" s="22" customFormat="1" ht="15">
      <c r="A32" s="99" t="s">
        <v>45</v>
      </c>
      <c r="B32" s="15" t="s">
        <v>13</v>
      </c>
      <c r="C32" s="16" t="s">
        <v>46</v>
      </c>
      <c r="D32" s="17" t="s">
        <v>47</v>
      </c>
      <c r="E32" s="18" t="s">
        <v>33</v>
      </c>
      <c r="F32" s="19">
        <f>I32</f>
        <v>22.6923</v>
      </c>
      <c r="G32" s="20">
        <v>233.55</v>
      </c>
      <c r="H32" s="21">
        <f t="shared" si="2"/>
        <v>5299.78</v>
      </c>
      <c r="I32" s="21">
        <f>(226.56+4.8+28.96+3.85+2.36)*0.03+(16.85+4.8)*0.03+(293.78+17.57+4.8+4.8+3.85+2.26)*0.03+(99.12+3.83+4+26.48+3.92+3.82)*0.03</f>
        <v>22.6923</v>
      </c>
      <c r="K32" s="21"/>
      <c r="AF32" s="26"/>
      <c r="AG32" s="26"/>
      <c r="AH32" s="26"/>
      <c r="AI32" s="26"/>
      <c r="AJ32" s="26"/>
      <c r="AK32" s="26"/>
      <c r="AL32" s="26"/>
      <c r="AM32" s="26"/>
      <c r="IK32" s="23"/>
      <c r="IL32" s="23"/>
    </row>
    <row r="33" spans="1:246" s="22" customFormat="1" ht="30">
      <c r="A33" s="99" t="s">
        <v>48</v>
      </c>
      <c r="B33" s="15" t="s">
        <v>13</v>
      </c>
      <c r="C33" s="16" t="s">
        <v>49</v>
      </c>
      <c r="D33" s="17" t="s">
        <v>50</v>
      </c>
      <c r="E33" s="18" t="s">
        <v>16</v>
      </c>
      <c r="F33" s="19">
        <f>I33</f>
        <v>794.2305000000002</v>
      </c>
      <c r="G33" s="20">
        <v>137.57</v>
      </c>
      <c r="H33" s="21">
        <f t="shared" si="2"/>
        <v>109262.28</v>
      </c>
      <c r="I33" s="22">
        <f>(226.56+16.85+4.8+4.8+28.96+3.85+2.36+4.8+17.57+4.8+293.78+3.85+2.26+3.83+4+99.12+26.48+3.92+3.82)*1.05</f>
        <v>794.2305000000002</v>
      </c>
      <c r="K33" s="21"/>
      <c r="AF33" s="26"/>
      <c r="AG33" s="26"/>
      <c r="AH33" s="26"/>
      <c r="AI33" s="26"/>
      <c r="AJ33" s="26"/>
      <c r="AK33" s="26"/>
      <c r="AL33" s="26"/>
      <c r="AM33" s="26"/>
      <c r="IK33" s="23"/>
      <c r="IL33" s="23"/>
    </row>
    <row r="34" spans="1:246" s="22" customFormat="1" ht="30">
      <c r="A34" s="99" t="s">
        <v>51</v>
      </c>
      <c r="B34" s="15" t="s">
        <v>13</v>
      </c>
      <c r="C34" s="16" t="s">
        <v>52</v>
      </c>
      <c r="D34" s="17" t="s">
        <v>189</v>
      </c>
      <c r="E34" s="18" t="s">
        <v>16</v>
      </c>
      <c r="F34" s="19">
        <f>K34</f>
        <v>22.0625</v>
      </c>
      <c r="G34" s="20">
        <v>143.54</v>
      </c>
      <c r="H34" s="21">
        <f t="shared" si="2"/>
        <v>3166.85</v>
      </c>
      <c r="I34" s="22">
        <f>20+14+20+20+20+21+21+24+24+20+19+20+20+16+37+37</f>
        <v>353</v>
      </c>
      <c r="K34" s="21">
        <f>353*0.25*0.25</f>
        <v>22.0625</v>
      </c>
      <c r="AF34" s="26"/>
      <c r="AG34" s="26"/>
      <c r="AH34" s="26"/>
      <c r="AI34" s="26"/>
      <c r="AJ34" s="26"/>
      <c r="AK34" s="26"/>
      <c r="AL34" s="26"/>
      <c r="AM34" s="26"/>
      <c r="IK34" s="23"/>
      <c r="IL34" s="23"/>
    </row>
    <row r="35" spans="1:246" s="22" customFormat="1" ht="30" customHeight="1">
      <c r="A35" s="99" t="s">
        <v>53</v>
      </c>
      <c r="B35" s="15" t="s">
        <v>13</v>
      </c>
      <c r="C35" s="16" t="s">
        <v>54</v>
      </c>
      <c r="D35" s="17" t="s">
        <v>55</v>
      </c>
      <c r="E35" s="18" t="s">
        <v>16</v>
      </c>
      <c r="F35" s="19">
        <f>K34</f>
        <v>22.0625</v>
      </c>
      <c r="G35" s="20">
        <v>15.48</v>
      </c>
      <c r="H35" s="21">
        <f t="shared" si="2"/>
        <v>341.52</v>
      </c>
      <c r="I35" s="22">
        <f>I34</f>
        <v>353</v>
      </c>
      <c r="K35" s="2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F35" s="27"/>
      <c r="AG35" s="28"/>
      <c r="AH35" s="111"/>
      <c r="AI35" s="111"/>
      <c r="AJ35" s="111"/>
      <c r="AK35" s="111"/>
      <c r="AL35" s="111"/>
      <c r="AM35" s="111"/>
      <c r="AN35" s="29"/>
      <c r="AO35" s="30"/>
      <c r="AP35" s="27"/>
      <c r="AQ35" s="28"/>
      <c r="AR35" s="111"/>
      <c r="AS35" s="111"/>
      <c r="AT35" s="111"/>
      <c r="AU35" s="111"/>
      <c r="AV35" s="111"/>
      <c r="AW35" s="111"/>
      <c r="IK35" s="23"/>
      <c r="IL35" s="23"/>
    </row>
    <row r="36" spans="1:246" s="31" customFormat="1" ht="31.5" customHeight="1">
      <c r="A36" s="99" t="s">
        <v>56</v>
      </c>
      <c r="B36" s="15" t="s">
        <v>13</v>
      </c>
      <c r="C36" s="16" t="s">
        <v>57</v>
      </c>
      <c r="D36" s="17" t="s">
        <v>58</v>
      </c>
      <c r="E36" s="18" t="s">
        <v>16</v>
      </c>
      <c r="F36" s="19">
        <f aca="true" t="shared" si="3" ref="F36:F44">I36</f>
        <v>8.819999999999999</v>
      </c>
      <c r="G36" s="20">
        <v>174.97</v>
      </c>
      <c r="H36" s="21">
        <f t="shared" si="2"/>
        <v>1543.23</v>
      </c>
      <c r="I36" s="22">
        <f>7*1.4*0.9</f>
        <v>8.819999999999999</v>
      </c>
      <c r="K36" s="21"/>
      <c r="M36" s="32"/>
      <c r="N36" s="111"/>
      <c r="O36" s="111"/>
      <c r="P36" s="111"/>
      <c r="Q36" s="111"/>
      <c r="R36" s="111"/>
      <c r="S36" s="111"/>
      <c r="T36" s="29"/>
      <c r="U36" s="30"/>
      <c r="V36" s="27"/>
      <c r="W36" s="28"/>
      <c r="X36" s="111"/>
      <c r="Y36" s="111"/>
      <c r="Z36" s="111"/>
      <c r="AA36" s="111"/>
      <c r="AB36" s="111"/>
      <c r="AC36" s="111"/>
      <c r="AD36" s="32"/>
      <c r="AE36" s="33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32"/>
      <c r="AY36" s="33"/>
      <c r="AZ36" s="34"/>
      <c r="BA36" s="35"/>
      <c r="BB36" s="110"/>
      <c r="BC36" s="110"/>
      <c r="BD36" s="110"/>
      <c r="BE36" s="110"/>
      <c r="BF36" s="110"/>
      <c r="BG36" s="110"/>
      <c r="BH36" s="32"/>
      <c r="BI36" s="33"/>
      <c r="BJ36" s="34"/>
      <c r="BK36" s="35"/>
      <c r="BL36" s="110"/>
      <c r="BM36" s="110"/>
      <c r="BN36" s="110"/>
      <c r="BO36" s="110"/>
      <c r="BP36" s="110"/>
      <c r="BQ36" s="110"/>
      <c r="BR36" s="32"/>
      <c r="BS36" s="33"/>
      <c r="BT36" s="34"/>
      <c r="BU36" s="35"/>
      <c r="BV36" s="110"/>
      <c r="BW36" s="110"/>
      <c r="BX36" s="110"/>
      <c r="BY36" s="110"/>
      <c r="BZ36" s="110"/>
      <c r="CA36" s="110"/>
      <c r="CB36" s="32"/>
      <c r="CC36" s="33"/>
      <c r="CD36" s="34">
        <v>151.51</v>
      </c>
      <c r="CE36" s="35">
        <v>62305</v>
      </c>
      <c r="CF36" s="110" t="s">
        <v>59</v>
      </c>
      <c r="CG36" s="110"/>
      <c r="CH36" s="110"/>
      <c r="CI36" s="110"/>
      <c r="CJ36" s="110"/>
      <c r="CK36" s="110"/>
      <c r="CL36" s="32" t="s">
        <v>60</v>
      </c>
      <c r="CM36" s="33"/>
      <c r="CN36" s="34">
        <v>151.51</v>
      </c>
      <c r="CO36" s="35">
        <v>62305</v>
      </c>
      <c r="CP36" s="110" t="s">
        <v>59</v>
      </c>
      <c r="CQ36" s="110"/>
      <c r="CR36" s="110"/>
      <c r="CS36" s="110"/>
      <c r="CT36" s="110"/>
      <c r="CU36" s="110"/>
      <c r="CV36" s="32" t="s">
        <v>60</v>
      </c>
      <c r="CW36" s="33"/>
      <c r="CX36" s="34">
        <v>151.51</v>
      </c>
      <c r="CY36" s="35">
        <v>62305</v>
      </c>
      <c r="CZ36" s="110" t="s">
        <v>59</v>
      </c>
      <c r="DA36" s="110"/>
      <c r="DB36" s="110"/>
      <c r="DC36" s="110"/>
      <c r="DD36" s="110"/>
      <c r="DE36" s="110"/>
      <c r="DF36" s="32" t="s">
        <v>60</v>
      </c>
      <c r="DG36" s="33"/>
      <c r="DH36" s="34">
        <v>151.51</v>
      </c>
      <c r="DI36" s="35">
        <v>62305</v>
      </c>
      <c r="DJ36" s="110" t="s">
        <v>59</v>
      </c>
      <c r="DK36" s="110"/>
      <c r="DL36" s="110"/>
      <c r="DM36" s="110"/>
      <c r="DN36" s="110"/>
      <c r="DO36" s="110"/>
      <c r="DP36" s="32" t="s">
        <v>60</v>
      </c>
      <c r="DQ36" s="33"/>
      <c r="DR36" s="34">
        <v>151.51</v>
      </c>
      <c r="DS36" s="35">
        <v>62305</v>
      </c>
      <c r="DT36" s="110" t="s">
        <v>59</v>
      </c>
      <c r="DU36" s="110"/>
      <c r="DV36" s="110"/>
      <c r="DW36" s="110"/>
      <c r="DX36" s="110"/>
      <c r="DY36" s="110"/>
      <c r="DZ36" s="32" t="s">
        <v>60</v>
      </c>
      <c r="EA36" s="33"/>
      <c r="EB36" s="34">
        <v>151.51</v>
      </c>
      <c r="EC36" s="35">
        <v>62305</v>
      </c>
      <c r="ED36" s="110" t="s">
        <v>59</v>
      </c>
      <c r="EE36" s="110"/>
      <c r="EF36" s="110"/>
      <c r="EG36" s="110"/>
      <c r="EH36" s="110"/>
      <c r="EI36" s="110"/>
      <c r="EJ36" s="32" t="s">
        <v>60</v>
      </c>
      <c r="EK36" s="33"/>
      <c r="EL36" s="34">
        <v>151.51</v>
      </c>
      <c r="EM36" s="35">
        <v>62305</v>
      </c>
      <c r="EN36" s="110" t="s">
        <v>59</v>
      </c>
      <c r="EO36" s="110"/>
      <c r="EP36" s="110"/>
      <c r="EQ36" s="110"/>
      <c r="ER36" s="110"/>
      <c r="ES36" s="110"/>
      <c r="ET36" s="32" t="s">
        <v>60</v>
      </c>
      <c r="EU36" s="33"/>
      <c r="EV36" s="34">
        <v>151.51</v>
      </c>
      <c r="EW36" s="35">
        <v>62305</v>
      </c>
      <c r="EX36" s="110" t="s">
        <v>59</v>
      </c>
      <c r="EY36" s="110"/>
      <c r="EZ36" s="110"/>
      <c r="FA36" s="110"/>
      <c r="FB36" s="110"/>
      <c r="FC36" s="110"/>
      <c r="FD36" s="32" t="s">
        <v>60</v>
      </c>
      <c r="FE36" s="33"/>
      <c r="FF36" s="34">
        <v>151.51</v>
      </c>
      <c r="FG36" s="35">
        <v>62305</v>
      </c>
      <c r="FH36" s="110" t="s">
        <v>59</v>
      </c>
      <c r="FI36" s="110"/>
      <c r="FJ36" s="110"/>
      <c r="FK36" s="110"/>
      <c r="FL36" s="110"/>
      <c r="FM36" s="110"/>
      <c r="FN36" s="32" t="s">
        <v>60</v>
      </c>
      <c r="FO36" s="33"/>
      <c r="FP36" s="34">
        <v>151.51</v>
      </c>
      <c r="FQ36" s="35">
        <v>62305</v>
      </c>
      <c r="FR36" s="110" t="s">
        <v>59</v>
      </c>
      <c r="FS36" s="110"/>
      <c r="FT36" s="110"/>
      <c r="FU36" s="110"/>
      <c r="FV36" s="110"/>
      <c r="FW36" s="110"/>
      <c r="FX36" s="32" t="s">
        <v>60</v>
      </c>
      <c r="FY36" s="33"/>
      <c r="FZ36" s="34">
        <v>151.51</v>
      </c>
      <c r="GA36" s="35">
        <v>62305</v>
      </c>
      <c r="GB36" s="110" t="s">
        <v>59</v>
      </c>
      <c r="GC36" s="110"/>
      <c r="GD36" s="110"/>
      <c r="GE36" s="110"/>
      <c r="GF36" s="110"/>
      <c r="GG36" s="110"/>
      <c r="GH36" s="32" t="s">
        <v>60</v>
      </c>
      <c r="GI36" s="33"/>
      <c r="GJ36" s="34">
        <v>151.51</v>
      </c>
      <c r="GK36" s="35">
        <v>62305</v>
      </c>
      <c r="GL36" s="110" t="s">
        <v>59</v>
      </c>
      <c r="GM36" s="110"/>
      <c r="GN36" s="110"/>
      <c r="GO36" s="110"/>
      <c r="GP36" s="110"/>
      <c r="GQ36" s="110"/>
      <c r="GR36" s="32" t="s">
        <v>60</v>
      </c>
      <c r="GS36" s="33"/>
      <c r="GT36" s="34">
        <v>151.51</v>
      </c>
      <c r="GU36" s="35">
        <v>62305</v>
      </c>
      <c r="GV36" s="110" t="s">
        <v>59</v>
      </c>
      <c r="GW36" s="110"/>
      <c r="GX36" s="110"/>
      <c r="GY36" s="110"/>
      <c r="GZ36" s="110"/>
      <c r="HA36" s="110"/>
      <c r="HB36" s="32" t="s">
        <v>60</v>
      </c>
      <c r="HC36" s="33"/>
      <c r="HD36" s="34">
        <v>151.51</v>
      </c>
      <c r="HE36" s="35">
        <v>62305</v>
      </c>
      <c r="HF36" s="110" t="s">
        <v>59</v>
      </c>
      <c r="HG36" s="110"/>
      <c r="HH36" s="110"/>
      <c r="HI36" s="110"/>
      <c r="HJ36" s="110"/>
      <c r="HK36" s="110"/>
      <c r="HL36" s="32" t="s">
        <v>60</v>
      </c>
      <c r="HM36" s="33"/>
      <c r="HN36" s="34">
        <v>151.51</v>
      </c>
      <c r="HO36" s="35">
        <v>62305</v>
      </c>
      <c r="HP36" s="110" t="s">
        <v>59</v>
      </c>
      <c r="HQ36" s="110"/>
      <c r="HR36" s="110"/>
      <c r="HS36" s="110"/>
      <c r="HT36" s="110"/>
      <c r="HU36" s="110"/>
      <c r="HV36" s="32" t="s">
        <v>60</v>
      </c>
      <c r="HW36" s="33"/>
      <c r="HX36" s="34">
        <v>151.51</v>
      </c>
      <c r="HY36" s="35">
        <v>62305</v>
      </c>
      <c r="HZ36" s="110" t="s">
        <v>59</v>
      </c>
      <c r="IA36" s="110"/>
      <c r="IB36" s="110"/>
      <c r="IC36" s="110"/>
      <c r="ID36" s="110"/>
      <c r="IE36" s="110"/>
      <c r="IF36" s="32" t="s">
        <v>60</v>
      </c>
      <c r="IG36" s="33"/>
      <c r="IH36" s="34">
        <v>151.51</v>
      </c>
      <c r="II36" s="35">
        <v>62305</v>
      </c>
      <c r="IJ36" s="110" t="s">
        <v>59</v>
      </c>
      <c r="IK36" s="110"/>
      <c r="IL36" s="110"/>
    </row>
    <row r="37" spans="1:246" s="22" customFormat="1" ht="15">
      <c r="A37" s="99" t="s">
        <v>61</v>
      </c>
      <c r="B37" s="15" t="s">
        <v>13</v>
      </c>
      <c r="C37" s="16" t="s">
        <v>62</v>
      </c>
      <c r="D37" s="17" t="s">
        <v>63</v>
      </c>
      <c r="E37" s="18" t="s">
        <v>16</v>
      </c>
      <c r="F37" s="19">
        <f>I37</f>
        <v>145.84</v>
      </c>
      <c r="G37" s="20">
        <v>203.78</v>
      </c>
      <c r="H37" s="21">
        <f t="shared" si="2"/>
        <v>29719.27</v>
      </c>
      <c r="I37" s="22">
        <f>(3*5.62*0.2)+(2*12.25*0.4)+(4*12.25*0.4)+(3*5.62*0.2)+(2*12.25+11.44+19.3+9.72+8.98)*0.4+(5*5.62*0.2)+(11.44+29.36+23.13+9.41)*0.4+(10.96+12.04+23.03+11.5)*0.4+(5.62*4)*0.2+(11.45+11.48+10.62+10.59)*0.4</f>
        <v>145.84</v>
      </c>
      <c r="K37" s="21"/>
      <c r="IK37" s="23"/>
      <c r="IL37" s="23"/>
    </row>
    <row r="38" spans="1:246" s="22" customFormat="1" ht="15">
      <c r="A38" s="99" t="s">
        <v>64</v>
      </c>
      <c r="B38" s="15" t="s">
        <v>13</v>
      </c>
      <c r="C38" s="16" t="s">
        <v>65</v>
      </c>
      <c r="D38" s="17" t="s">
        <v>66</v>
      </c>
      <c r="E38" s="18" t="s">
        <v>33</v>
      </c>
      <c r="F38" s="19">
        <f t="shared" si="3"/>
        <v>52.9487</v>
      </c>
      <c r="G38" s="20">
        <v>491.21</v>
      </c>
      <c r="H38" s="21">
        <f t="shared" si="2"/>
        <v>26008.93</v>
      </c>
      <c r="I38" s="22">
        <f>(226.56+4.8+28.96+3.85+2.36)*0.07+(16.85+4.8)*0.07+(293.78+17.57+4.8+4.8+3.85+2.26)*0.07+(99.12+3.83+4+26.48+3.92+3.82)*0.07</f>
        <v>52.9487</v>
      </c>
      <c r="K38" s="21"/>
      <c r="IK38" s="23"/>
      <c r="IL38" s="23"/>
    </row>
    <row r="39" spans="1:246" s="22" customFormat="1" ht="30">
      <c r="A39" s="99" t="s">
        <v>67</v>
      </c>
      <c r="B39" s="15" t="s">
        <v>13</v>
      </c>
      <c r="C39" s="16" t="s">
        <v>68</v>
      </c>
      <c r="D39" s="17" t="s">
        <v>188</v>
      </c>
      <c r="E39" s="18" t="s">
        <v>69</v>
      </c>
      <c r="F39" s="19">
        <f t="shared" si="3"/>
        <v>635.1356800000001</v>
      </c>
      <c r="G39" s="20">
        <v>11.28</v>
      </c>
      <c r="H39" s="21">
        <f t="shared" si="2"/>
        <v>7164.33</v>
      </c>
      <c r="I39" s="22">
        <f>(3*3.2)*(6*0.245+6*0.7*0.109)+(4*6.52)*(10*0.245+6*1.1*0.109)+(4*6.52)*(10*0.245+6*1.1*0.109)+(5*3.2)*(6*0.245+6*0.7*0.109)+(2*6.11+10.07+5.25+4.87+15.08+12.36+5.08)*(10*0.245+6*1.1*0.109)+(3*3.2)*(6*0.245+6*0.7*0.109)+(5.87+6.44+11.96+6.17)*(10*0.245+6*1.1*0.109)+(4*3.2)*(6*0.245+6*0.7*0.109)+(2*6.11+5.77+5.68)*(10*0.245+6*1.1*0.109)</f>
        <v>635.1356800000001</v>
      </c>
      <c r="K39" s="21"/>
      <c r="S39" s="22">
        <f>(3*3.2)*(6*0.245+6*0.7*0.109)+(5*3.2)*(6*0.245+6*0.7*0.109)+(3*3.2)*(6*0.245+6*0.7*0.109)+(4*3.2)*(6*0.245+6*0.7*0.109)</f>
        <v>92.5344</v>
      </c>
      <c r="T39" s="22">
        <f>(4*6.52)*(10*0.245+6*1.1*0.109)+(4*6.52)*(10*0.245+6*1.1*0.109)+(2*6.11+10.07+5.25+4.87+15.08+12.36+5.08)*(10*0.245+6*1.1*0.109)+(5.87+6.44+11.96+6.17)*(10*0.245+6*1.1*0.109)+(2*6.11+5.77+5.68)*(10*0.245+6*1.1*0.109)</f>
        <v>542.6012800000001</v>
      </c>
      <c r="IK39" s="23"/>
      <c r="IL39" s="23"/>
    </row>
    <row r="40" spans="1:246" s="22" customFormat="1" ht="15">
      <c r="A40" s="99" t="s">
        <v>70</v>
      </c>
      <c r="B40" s="15" t="s">
        <v>71</v>
      </c>
      <c r="C40" s="16" t="s">
        <v>72</v>
      </c>
      <c r="D40" s="17" t="s">
        <v>73</v>
      </c>
      <c r="E40" s="18" t="s">
        <v>38</v>
      </c>
      <c r="F40" s="19">
        <f t="shared" si="3"/>
        <v>189.4</v>
      </c>
      <c r="G40" s="20">
        <f>K40</f>
        <v>171.25958</v>
      </c>
      <c r="H40" s="21">
        <f t="shared" si="2"/>
        <v>32436.56</v>
      </c>
      <c r="I40" s="22">
        <f>(8.8+15.75+2.73+11.78+4.29+2.64+2.85+3.94+10.9+2.61)/0.35</f>
        <v>189.4</v>
      </c>
      <c r="K40" s="22">
        <f>210.65-39.39042</f>
        <v>171.25958</v>
      </c>
      <c r="O40" s="22">
        <f>0.8*0.25</f>
        <v>0.2</v>
      </c>
      <c r="IK40" s="23"/>
      <c r="IL40" s="23"/>
    </row>
    <row r="41" spans="1:246" s="22" customFormat="1" ht="30.75" customHeight="1">
      <c r="A41" s="99" t="s">
        <v>75</v>
      </c>
      <c r="B41" s="15" t="s">
        <v>13</v>
      </c>
      <c r="C41" s="16" t="s">
        <v>193</v>
      </c>
      <c r="D41" s="17" t="s">
        <v>194</v>
      </c>
      <c r="E41" s="18" t="s">
        <v>33</v>
      </c>
      <c r="F41" s="19">
        <f>I41</f>
        <v>7.376000000000001</v>
      </c>
      <c r="G41" s="20">
        <v>479.61</v>
      </c>
      <c r="H41" s="21">
        <f t="shared" si="2"/>
        <v>3537.6</v>
      </c>
      <c r="I41" s="22">
        <f>(8.92+16.78+3.7)*0.1+(12.56+5.54+2.93)*0.1+(3.4+5.15+11.8+2.98)*0.1</f>
        <v>7.376000000000001</v>
      </c>
      <c r="IK41" s="23"/>
      <c r="IL41" s="23"/>
    </row>
    <row r="42" spans="1:246" s="22" customFormat="1" ht="30.75" customHeight="1">
      <c r="A42" s="99" t="s">
        <v>76</v>
      </c>
      <c r="B42" s="15" t="s">
        <v>13</v>
      </c>
      <c r="C42" s="16" t="s">
        <v>77</v>
      </c>
      <c r="D42" s="17" t="s">
        <v>78</v>
      </c>
      <c r="E42" s="18" t="s">
        <v>33</v>
      </c>
      <c r="F42" s="19">
        <f t="shared" si="3"/>
        <v>69.2397</v>
      </c>
      <c r="G42" s="20">
        <v>82.1</v>
      </c>
      <c r="H42" s="21">
        <f t="shared" si="2"/>
        <v>5684.57</v>
      </c>
      <c r="I42" s="36">
        <f>F43+F41+F38</f>
        <v>69.2397</v>
      </c>
      <c r="IK42" s="23"/>
      <c r="IL42" s="23"/>
    </row>
    <row r="43" spans="1:246" s="22" customFormat="1" ht="15">
      <c r="A43" s="99" t="s">
        <v>79</v>
      </c>
      <c r="B43" s="15" t="s">
        <v>13</v>
      </c>
      <c r="C43" s="16" t="s">
        <v>80</v>
      </c>
      <c r="D43" s="17" t="s">
        <v>81</v>
      </c>
      <c r="E43" s="18" t="s">
        <v>33</v>
      </c>
      <c r="F43" s="19">
        <f>I43</f>
        <v>8.915</v>
      </c>
      <c r="G43" s="20">
        <v>458.31</v>
      </c>
      <c r="H43" s="21">
        <f t="shared" si="2"/>
        <v>4085.83</v>
      </c>
      <c r="I43" s="22">
        <f>(3*0.28*0.3)+2*0.56*0.5+(3*0.28*0.3)+4*0.56*0.5+(2*0.56*0.5)+(5*0.28*0.3)+(0.53+0.94+0.4+0.47)*0.5+(0.6+1.43+1.22+0.42)*0.5+(0.52+0.56+1.06+0.54)*0.5+(4*0.28*0.3)+(0.54+0.57+0.55+0.48)*0.5</f>
        <v>8.915</v>
      </c>
      <c r="IK43" s="23"/>
      <c r="IL43" s="23"/>
    </row>
    <row r="44" spans="1:246" s="22" customFormat="1" ht="15">
      <c r="A44" s="99" t="s">
        <v>82</v>
      </c>
      <c r="B44" s="15" t="s">
        <v>13</v>
      </c>
      <c r="C44" s="16" t="s">
        <v>83</v>
      </c>
      <c r="D44" s="17" t="s">
        <v>84</v>
      </c>
      <c r="E44" s="18" t="s">
        <v>33</v>
      </c>
      <c r="F44" s="19">
        <f t="shared" si="3"/>
        <v>21.75</v>
      </c>
      <c r="G44" s="20">
        <v>222.85</v>
      </c>
      <c r="H44" s="21">
        <f t="shared" si="2"/>
        <v>4846.98</v>
      </c>
      <c r="I44" s="22">
        <f>0.22+1.65+1.65+0.36+1.96+0.62+1.65+0.22+1.65+3.04+1.79+1.12+2.11+1.44+1.21+1.06</f>
        <v>21.75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IK44" s="23"/>
      <c r="IL44" s="23"/>
    </row>
    <row r="45" spans="1:8" ht="15.75">
      <c r="A45" s="102" t="s">
        <v>178</v>
      </c>
      <c r="B45" s="102"/>
      <c r="C45" s="102"/>
      <c r="D45" s="102"/>
      <c r="E45" s="102"/>
      <c r="F45" s="102"/>
      <c r="G45" s="102"/>
      <c r="H45" s="24">
        <f>SUM(H29:H44)</f>
        <v>264766.00999999995</v>
      </c>
    </row>
    <row r="46" spans="1:8" ht="15" customHeight="1">
      <c r="A46" s="14" t="s">
        <v>85</v>
      </c>
      <c r="B46" s="14"/>
      <c r="C46" s="14"/>
      <c r="D46" s="101" t="s">
        <v>86</v>
      </c>
      <c r="E46" s="101"/>
      <c r="F46" s="101"/>
      <c r="G46" s="101"/>
      <c r="H46" s="101"/>
    </row>
    <row r="47" spans="1:9" ht="30">
      <c r="A47" s="99" t="s">
        <v>87</v>
      </c>
      <c r="B47" s="15" t="s">
        <v>13</v>
      </c>
      <c r="C47" s="16" t="s">
        <v>88</v>
      </c>
      <c r="D47" s="17" t="s">
        <v>89</v>
      </c>
      <c r="E47" s="18" t="s">
        <v>33</v>
      </c>
      <c r="F47" s="19">
        <f>I47</f>
        <v>1.008</v>
      </c>
      <c r="G47" s="100">
        <v>5289.15</v>
      </c>
      <c r="H47" s="21">
        <f>TRUNC(F47*G47,2)</f>
        <v>5331.46</v>
      </c>
      <c r="I47" s="4">
        <f>0.5*0.06*1.2*28</f>
        <v>1.008</v>
      </c>
    </row>
    <row r="48" spans="1:13" ht="31.5" customHeight="1">
      <c r="A48" s="99" t="s">
        <v>90</v>
      </c>
      <c r="B48" s="15" t="s">
        <v>13</v>
      </c>
      <c r="C48" s="16" t="s">
        <v>91</v>
      </c>
      <c r="D48" s="17" t="s">
        <v>184</v>
      </c>
      <c r="E48" s="18" t="s">
        <v>69</v>
      </c>
      <c r="F48" s="19">
        <f>I48</f>
        <v>454.60800000000006</v>
      </c>
      <c r="G48" s="20">
        <v>22.69</v>
      </c>
      <c r="H48" s="21">
        <f>TRUNC(F48*G48,2)</f>
        <v>10315.05</v>
      </c>
      <c r="I48" s="4">
        <f>9.58*0.6*56+0.5*56*4.74</f>
        <v>454.60800000000006</v>
      </c>
      <c r="M48" s="4">
        <f>57.5/6</f>
        <v>9.583333333333334</v>
      </c>
    </row>
    <row r="49" spans="1:20" ht="35.25" customHeight="1">
      <c r="A49" s="99" t="s">
        <v>92</v>
      </c>
      <c r="B49" s="15" t="s">
        <v>71</v>
      </c>
      <c r="C49" s="16" t="s">
        <v>93</v>
      </c>
      <c r="D49" s="17" t="s">
        <v>94</v>
      </c>
      <c r="E49" s="18" t="s">
        <v>38</v>
      </c>
      <c r="F49" s="19">
        <f>I49</f>
        <v>70.1</v>
      </c>
      <c r="G49" s="20">
        <f>J49</f>
        <v>682.9337</v>
      </c>
      <c r="H49" s="21">
        <f>TRUNC(F49*G49,2)</f>
        <v>47873.65</v>
      </c>
      <c r="I49" s="4">
        <f>11.77+12.59+3.7+12.06+5.04+14.11+10.83</f>
        <v>70.1</v>
      </c>
      <c r="J49" s="4">
        <f>840.01-157.0763</f>
        <v>682.9337</v>
      </c>
      <c r="T49" s="4">
        <v>0</v>
      </c>
    </row>
    <row r="50" spans="1:9" ht="58.5" customHeight="1">
      <c r="A50" s="99" t="s">
        <v>95</v>
      </c>
      <c r="B50" s="15" t="s">
        <v>96</v>
      </c>
      <c r="C50" s="16">
        <v>42440</v>
      </c>
      <c r="D50" s="17" t="s">
        <v>97</v>
      </c>
      <c r="E50" s="18" t="s">
        <v>74</v>
      </c>
      <c r="F50" s="19">
        <f>I50</f>
        <v>6</v>
      </c>
      <c r="G50" s="20">
        <v>1235.91</v>
      </c>
      <c r="H50" s="21">
        <f>TRUNC(F50*G50,2)</f>
        <v>7415.46</v>
      </c>
      <c r="I50" s="4">
        <f>6</f>
        <v>6</v>
      </c>
    </row>
    <row r="51" spans="1:8" ht="15.75">
      <c r="A51" s="102" t="s">
        <v>177</v>
      </c>
      <c r="B51" s="102"/>
      <c r="C51" s="102"/>
      <c r="D51" s="102"/>
      <c r="E51" s="102"/>
      <c r="F51" s="102"/>
      <c r="G51" s="102"/>
      <c r="H51" s="24">
        <f>SUM(H47:H50)</f>
        <v>70935.62000000001</v>
      </c>
    </row>
    <row r="52" spans="1:8" ht="15">
      <c r="A52" s="109"/>
      <c r="B52" s="109"/>
      <c r="C52" s="109"/>
      <c r="D52" s="109"/>
      <c r="E52" s="109"/>
      <c r="F52" s="109"/>
      <c r="G52" s="109"/>
      <c r="H52" s="109"/>
    </row>
    <row r="53" spans="1:8" ht="15.75" customHeight="1">
      <c r="A53" s="14" t="s">
        <v>98</v>
      </c>
      <c r="B53" s="14"/>
      <c r="C53" s="14"/>
      <c r="D53" s="101" t="s">
        <v>99</v>
      </c>
      <c r="E53" s="101"/>
      <c r="F53" s="101"/>
      <c r="G53" s="101"/>
      <c r="H53" s="101"/>
    </row>
    <row r="54" spans="1:9" ht="45">
      <c r="A54" s="99" t="s">
        <v>100</v>
      </c>
      <c r="B54" s="15" t="s">
        <v>96</v>
      </c>
      <c r="C54" s="16">
        <v>97668</v>
      </c>
      <c r="D54" s="17" t="s">
        <v>101</v>
      </c>
      <c r="E54" s="18" t="s">
        <v>38</v>
      </c>
      <c r="F54" s="19">
        <f>I54</f>
        <v>314.16</v>
      </c>
      <c r="G54" s="20">
        <v>14.1</v>
      </c>
      <c r="H54" s="21">
        <f>TRUNC(F54*G54,2)</f>
        <v>4429.65</v>
      </c>
      <c r="I54" s="4">
        <f>2.45+4.65+4.65+2.45+3.1+4.05+1.89+23.54+1.89+0.5+6.41+2.62+4.95+2.39+2.39+4.95+2.61+1.9+12.3+7.8+1.97+6.32+10.15+1.55+6.46+2.52+4.9+4.9+2.45+7.85+11.8+10.93+18.78+13.8+8.65+9.32+9.6+6.49+7.46+7.22+6.39+10.62+15.95+2.38+2.67+4.88+5.33+4.91+2.79+7.63</f>
        <v>314.16</v>
      </c>
    </row>
    <row r="55" spans="1:11" ht="15">
      <c r="A55" s="99" t="s">
        <v>102</v>
      </c>
      <c r="B55" s="15" t="s">
        <v>71</v>
      </c>
      <c r="C55" s="16" t="s">
        <v>103</v>
      </c>
      <c r="D55" s="17" t="s">
        <v>104</v>
      </c>
      <c r="E55" s="18" t="s">
        <v>74</v>
      </c>
      <c r="F55" s="19">
        <f>I55</f>
        <v>30</v>
      </c>
      <c r="G55" s="20">
        <f>K55</f>
        <v>214.49588999999997</v>
      </c>
      <c r="H55" s="21">
        <f>TRUNC(F55*G55,2)</f>
        <v>6434.87</v>
      </c>
      <c r="I55" s="4">
        <f>30</f>
        <v>30</v>
      </c>
      <c r="J55" s="4" t="s">
        <v>172</v>
      </c>
      <c r="K55" s="4">
        <f>263.83-49.33411</f>
        <v>214.49588999999997</v>
      </c>
    </row>
    <row r="56" spans="1:8" ht="15.75">
      <c r="A56" s="102" t="s">
        <v>176</v>
      </c>
      <c r="B56" s="102"/>
      <c r="C56" s="102"/>
      <c r="D56" s="102"/>
      <c r="E56" s="102"/>
      <c r="F56" s="102"/>
      <c r="G56" s="102"/>
      <c r="H56" s="24">
        <f>SUM(H54:H55)</f>
        <v>10864.52</v>
      </c>
    </row>
    <row r="57" spans="1:49" ht="15.75" customHeight="1">
      <c r="A57" s="14" t="s">
        <v>105</v>
      </c>
      <c r="B57" s="14"/>
      <c r="C57" s="14"/>
      <c r="D57" s="101" t="s">
        <v>106</v>
      </c>
      <c r="E57" s="101"/>
      <c r="F57" s="101"/>
      <c r="G57" s="101"/>
      <c r="H57" s="101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</row>
    <row r="58" spans="1:246" s="22" customFormat="1" ht="15">
      <c r="A58" s="99" t="s">
        <v>107</v>
      </c>
      <c r="B58" s="15" t="s">
        <v>13</v>
      </c>
      <c r="C58" s="16" t="s">
        <v>108</v>
      </c>
      <c r="D58" s="17" t="s">
        <v>109</v>
      </c>
      <c r="E58" s="18" t="s">
        <v>16</v>
      </c>
      <c r="F58" s="19">
        <v>50</v>
      </c>
      <c r="G58" s="20">
        <v>126.22</v>
      </c>
      <c r="H58" s="21">
        <f aca="true" t="shared" si="4" ref="H58:H72">TRUNC(F58*G58,2)</f>
        <v>6311</v>
      </c>
      <c r="I58" s="22">
        <f>(8+8+4.5+4.5)*2</f>
        <v>50</v>
      </c>
      <c r="IK58" s="23"/>
      <c r="IL58" s="23"/>
    </row>
    <row r="59" spans="1:246" s="22" customFormat="1" ht="30">
      <c r="A59" s="99" t="s">
        <v>110</v>
      </c>
      <c r="B59" s="15" t="s">
        <v>13</v>
      </c>
      <c r="C59" s="16" t="s">
        <v>111</v>
      </c>
      <c r="D59" s="17" t="s">
        <v>112</v>
      </c>
      <c r="E59" s="18" t="s">
        <v>33</v>
      </c>
      <c r="F59" s="19">
        <f>I59</f>
        <v>160.73784999999998</v>
      </c>
      <c r="G59" s="20">
        <v>102.59</v>
      </c>
      <c r="H59" s="21">
        <f t="shared" si="4"/>
        <v>16490.09</v>
      </c>
      <c r="I59" s="4">
        <f>(226.56+293.78+99.12)*0.1*1.3+(230.82*0.15)*1.3+(1.84+3.83+2.64+1.78+4*0.18+1.96+3.18)*1.3+(1.92+10.84+10.84+1.92+3.2+16.38+5.51+4.12+6.98+1.76+4.28+3.86+2.56)*0.15*1.3</f>
        <v>160.73784999999998</v>
      </c>
      <c r="J59" s="36"/>
      <c r="IK59" s="23"/>
      <c r="IL59" s="23"/>
    </row>
    <row r="60" spans="1:246" s="22" customFormat="1" ht="30">
      <c r="A60" s="99" t="s">
        <v>113</v>
      </c>
      <c r="B60" s="15" t="s">
        <v>13</v>
      </c>
      <c r="C60" s="16" t="s">
        <v>173</v>
      </c>
      <c r="D60" s="17" t="s">
        <v>174</v>
      </c>
      <c r="E60" s="18" t="s">
        <v>16</v>
      </c>
      <c r="F60" s="19">
        <f>I60</f>
        <v>117.55999999999999</v>
      </c>
      <c r="G60" s="20">
        <v>72.27</v>
      </c>
      <c r="H60" s="21">
        <f t="shared" si="4"/>
        <v>8496.06</v>
      </c>
      <c r="I60" s="22">
        <f>112.71+2*1.44+1.6+0.37</f>
        <v>117.55999999999999</v>
      </c>
      <c r="IK60" s="23"/>
      <c r="IL60" s="23"/>
    </row>
    <row r="61" spans="1:246" s="22" customFormat="1" ht="15">
      <c r="A61" s="99" t="s">
        <v>114</v>
      </c>
      <c r="B61" s="15" t="s">
        <v>13</v>
      </c>
      <c r="C61" s="16" t="s">
        <v>115</v>
      </c>
      <c r="D61" s="17" t="s">
        <v>116</v>
      </c>
      <c r="E61" s="18" t="s">
        <v>16</v>
      </c>
      <c r="F61" s="19">
        <f>I61</f>
        <v>79.41000000000001</v>
      </c>
      <c r="G61" s="20">
        <v>92.18</v>
      </c>
      <c r="H61" s="21">
        <f t="shared" si="4"/>
        <v>7320.01</v>
      </c>
      <c r="I61" s="22">
        <f>3.96+3.06+3.84+11.72+9.92+11.75+10.29+3.88+10.26+10.73</f>
        <v>79.41000000000001</v>
      </c>
      <c r="IK61" s="23"/>
      <c r="IL61" s="23"/>
    </row>
    <row r="62" spans="1:246" s="22" customFormat="1" ht="45">
      <c r="A62" s="99" t="s">
        <v>117</v>
      </c>
      <c r="B62" s="15" t="s">
        <v>13</v>
      </c>
      <c r="C62" s="16" t="s">
        <v>118</v>
      </c>
      <c r="D62" s="17" t="s">
        <v>119</v>
      </c>
      <c r="E62" s="18" t="s">
        <v>38</v>
      </c>
      <c r="F62" s="19">
        <f aca="true" t="shared" si="5" ref="F62:F67">I62</f>
        <v>141</v>
      </c>
      <c r="G62" s="20">
        <v>77.84</v>
      </c>
      <c r="H62" s="21">
        <f t="shared" si="4"/>
        <v>10975.44</v>
      </c>
      <c r="I62" s="22">
        <f>6+9+6+6+12+12+9+6+6+6+9+9+12+9+6+6+12</f>
        <v>141</v>
      </c>
      <c r="IK62" s="23"/>
      <c r="IL62" s="23"/>
    </row>
    <row r="63" spans="1:246" s="22" customFormat="1" ht="15">
      <c r="A63" s="99" t="s">
        <v>120</v>
      </c>
      <c r="B63" s="15" t="s">
        <v>71</v>
      </c>
      <c r="C63" s="16" t="s">
        <v>121</v>
      </c>
      <c r="D63" s="17" t="s">
        <v>122</v>
      </c>
      <c r="E63" s="18" t="s">
        <v>123</v>
      </c>
      <c r="F63" s="19">
        <f t="shared" si="5"/>
        <v>14.799999999999999</v>
      </c>
      <c r="G63" s="20">
        <f>K63</f>
        <v>774.67446</v>
      </c>
      <c r="H63" s="21">
        <f t="shared" si="4"/>
        <v>11465.18</v>
      </c>
      <c r="I63" s="22">
        <f>0.8+2+1.2+0.8+2+0.8+2+1.2+2+2</f>
        <v>14.799999999999999</v>
      </c>
      <c r="K63" s="22">
        <f>952.85-178.17554</f>
        <v>774.67446</v>
      </c>
      <c r="IK63" s="23"/>
      <c r="IL63" s="23"/>
    </row>
    <row r="64" spans="1:246" s="22" customFormat="1" ht="30">
      <c r="A64" s="99" t="s">
        <v>124</v>
      </c>
      <c r="B64" s="15" t="s">
        <v>13</v>
      </c>
      <c r="C64" s="16" t="s">
        <v>125</v>
      </c>
      <c r="D64" s="17" t="s">
        <v>126</v>
      </c>
      <c r="E64" s="18" t="s">
        <v>38</v>
      </c>
      <c r="F64" s="19">
        <f t="shared" si="5"/>
        <v>48</v>
      </c>
      <c r="G64" s="20">
        <v>219.03</v>
      </c>
      <c r="H64" s="21">
        <f t="shared" si="4"/>
        <v>10513.44</v>
      </c>
      <c r="I64" s="22">
        <f>(10+10+16+12)*1</f>
        <v>48</v>
      </c>
      <c r="IK64" s="23"/>
      <c r="IL64" s="23"/>
    </row>
    <row r="65" spans="1:246" s="22" customFormat="1" ht="15">
      <c r="A65" s="99" t="s">
        <v>127</v>
      </c>
      <c r="B65" s="15" t="s">
        <v>13</v>
      </c>
      <c r="C65" s="16" t="s">
        <v>128</v>
      </c>
      <c r="D65" s="17" t="s">
        <v>129</v>
      </c>
      <c r="E65" s="18" t="s">
        <v>33</v>
      </c>
      <c r="F65" s="19">
        <v>1.27</v>
      </c>
      <c r="G65" s="20">
        <v>403.73</v>
      </c>
      <c r="H65" s="21">
        <f t="shared" si="4"/>
        <v>512.73</v>
      </c>
      <c r="I65" s="22">
        <f>0.0739*0.3*48+3.14*0.0375*0.0375*1*48</f>
        <v>1.27611</v>
      </c>
      <c r="IK65" s="23"/>
      <c r="IL65" s="23"/>
    </row>
    <row r="66" spans="1:246" s="22" customFormat="1" ht="15">
      <c r="A66" s="99" t="s">
        <v>130</v>
      </c>
      <c r="B66" s="15" t="s">
        <v>13</v>
      </c>
      <c r="C66" s="16" t="s">
        <v>187</v>
      </c>
      <c r="D66" s="17" t="s">
        <v>131</v>
      </c>
      <c r="E66" s="18" t="s">
        <v>16</v>
      </c>
      <c r="F66" s="19">
        <f t="shared" si="5"/>
        <v>60.760000000000005</v>
      </c>
      <c r="G66" s="20">
        <v>27.45</v>
      </c>
      <c r="H66" s="21">
        <f t="shared" si="4"/>
        <v>1667.86</v>
      </c>
      <c r="I66" s="22">
        <f>(0.06*2+0.1*2)*5*28+0.057*2*5*28</f>
        <v>60.760000000000005</v>
      </c>
      <c r="IK66" s="23"/>
      <c r="IL66" s="23"/>
    </row>
    <row r="67" spans="1:246" s="22" customFormat="1" ht="15">
      <c r="A67" s="99" t="s">
        <v>132</v>
      </c>
      <c r="B67" s="15" t="s">
        <v>13</v>
      </c>
      <c r="C67" s="16" t="s">
        <v>133</v>
      </c>
      <c r="D67" s="17" t="s">
        <v>134</v>
      </c>
      <c r="E67" s="18" t="s">
        <v>16</v>
      </c>
      <c r="F67" s="19">
        <f t="shared" si="5"/>
        <v>54.31999999999999</v>
      </c>
      <c r="G67" s="20">
        <v>79.17</v>
      </c>
      <c r="H67" s="21">
        <f t="shared" si="4"/>
        <v>4300.51</v>
      </c>
      <c r="I67" s="22">
        <f>1.09+1.09+1.81+3.41+3.21+5.97+3.58+0.9+1.52+1.28+3.55+1.74+1.45+1.63+1.4+1.22+1.44+0.72+0.83+8*2.06</f>
        <v>54.31999999999999</v>
      </c>
      <c r="IK67" s="23"/>
      <c r="IL67" s="23"/>
    </row>
    <row r="68" spans="1:246" s="22" customFormat="1" ht="15">
      <c r="A68" s="99" t="s">
        <v>135</v>
      </c>
      <c r="B68" s="15" t="s">
        <v>13</v>
      </c>
      <c r="C68" s="16" t="s">
        <v>136</v>
      </c>
      <c r="D68" s="17" t="s">
        <v>137</v>
      </c>
      <c r="E68" s="18" t="s">
        <v>60</v>
      </c>
      <c r="F68" s="19">
        <v>19</v>
      </c>
      <c r="G68" s="20">
        <v>127.51</v>
      </c>
      <c r="H68" s="21">
        <f t="shared" si="4"/>
        <v>2422.69</v>
      </c>
      <c r="I68" s="22">
        <f>3+3+5+4+2+1+1</f>
        <v>19</v>
      </c>
      <c r="IK68" s="23"/>
      <c r="IL68" s="23"/>
    </row>
    <row r="69" spans="1:246" s="22" customFormat="1" ht="15">
      <c r="A69" s="99" t="s">
        <v>138</v>
      </c>
      <c r="B69" s="15" t="s">
        <v>13</v>
      </c>
      <c r="C69" s="16" t="s">
        <v>139</v>
      </c>
      <c r="D69" s="17" t="s">
        <v>140</v>
      </c>
      <c r="E69" s="18" t="s">
        <v>74</v>
      </c>
      <c r="F69" s="19">
        <v>30</v>
      </c>
      <c r="G69" s="20">
        <v>56.31</v>
      </c>
      <c r="H69" s="21">
        <f t="shared" si="4"/>
        <v>1689.3</v>
      </c>
      <c r="I69" s="22">
        <f>2+1+5+4+4+3+5+4+2</f>
        <v>30</v>
      </c>
      <c r="IK69" s="23"/>
      <c r="IL69" s="23"/>
    </row>
    <row r="70" spans="1:246" s="22" customFormat="1" ht="15">
      <c r="A70" s="99" t="s">
        <v>141</v>
      </c>
      <c r="B70" s="15" t="s">
        <v>13</v>
      </c>
      <c r="C70" s="16" t="s">
        <v>142</v>
      </c>
      <c r="D70" s="17" t="s">
        <v>143</v>
      </c>
      <c r="E70" s="18" t="s">
        <v>74</v>
      </c>
      <c r="F70" s="19">
        <v>120</v>
      </c>
      <c r="G70" s="20">
        <v>40.74</v>
      </c>
      <c r="H70" s="21">
        <f t="shared" si="4"/>
        <v>4888.8</v>
      </c>
      <c r="I70" s="22">
        <f>6*10+6+22+8+6+9+9</f>
        <v>120</v>
      </c>
      <c r="IK70" s="23"/>
      <c r="IL70" s="23"/>
    </row>
    <row r="71" spans="1:246" s="22" customFormat="1" ht="15">
      <c r="A71" s="99" t="s">
        <v>144</v>
      </c>
      <c r="B71" s="15" t="s">
        <v>13</v>
      </c>
      <c r="C71" s="16" t="s">
        <v>145</v>
      </c>
      <c r="D71" s="17" t="s">
        <v>146</v>
      </c>
      <c r="E71" s="18" t="s">
        <v>60</v>
      </c>
      <c r="F71" s="19">
        <v>10</v>
      </c>
      <c r="G71" s="20">
        <v>362.35</v>
      </c>
      <c r="H71" s="21">
        <f t="shared" si="4"/>
        <v>3623.5</v>
      </c>
      <c r="I71" s="22">
        <v>10</v>
      </c>
      <c r="IK71" s="23"/>
      <c r="IL71" s="23"/>
    </row>
    <row r="72" spans="1:246" s="22" customFormat="1" ht="15">
      <c r="A72" s="99" t="s">
        <v>147</v>
      </c>
      <c r="B72" s="15" t="s">
        <v>13</v>
      </c>
      <c r="C72" s="16" t="s">
        <v>148</v>
      </c>
      <c r="D72" s="17" t="s">
        <v>149</v>
      </c>
      <c r="E72" s="18" t="s">
        <v>16</v>
      </c>
      <c r="F72" s="19">
        <f>I72</f>
        <v>72</v>
      </c>
      <c r="G72" s="20">
        <v>24.45</v>
      </c>
      <c r="H72" s="21">
        <f t="shared" si="4"/>
        <v>1760.4</v>
      </c>
      <c r="I72" s="37">
        <f>(1.3*2+46.65+10.75)*1.2</f>
        <v>72</v>
      </c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IK72" s="23"/>
      <c r="IL72" s="23"/>
    </row>
    <row r="73" spans="1:9" ht="15.75">
      <c r="A73" s="102" t="s">
        <v>175</v>
      </c>
      <c r="B73" s="102"/>
      <c r="C73" s="102"/>
      <c r="D73" s="102"/>
      <c r="E73" s="102"/>
      <c r="F73" s="102"/>
      <c r="G73" s="102"/>
      <c r="H73" s="24">
        <f>SUM(H58:H72)</f>
        <v>92437.01</v>
      </c>
      <c r="I73" s="37"/>
    </row>
    <row r="74" spans="1:8" ht="15">
      <c r="A74" s="103"/>
      <c r="B74" s="103"/>
      <c r="C74" s="103"/>
      <c r="D74" s="103"/>
      <c r="E74" s="103"/>
      <c r="F74" s="103"/>
      <c r="G74" s="103"/>
      <c r="H74" s="103"/>
    </row>
    <row r="75" spans="1:8" ht="15.75">
      <c r="A75" s="104" t="s">
        <v>190</v>
      </c>
      <c r="B75" s="104"/>
      <c r="C75" s="104"/>
      <c r="D75" s="104"/>
      <c r="E75" s="104"/>
      <c r="F75" s="104"/>
      <c r="G75" s="104"/>
      <c r="H75" s="38">
        <f>TRUNC(H73+H45+H27+H51+H56,2)</f>
        <v>463990.11</v>
      </c>
    </row>
    <row r="76" spans="1:8" ht="15.75">
      <c r="A76" s="107" t="s">
        <v>191</v>
      </c>
      <c r="B76" s="107"/>
      <c r="C76" s="107"/>
      <c r="D76" s="107"/>
      <c r="E76" s="107"/>
      <c r="F76" s="107"/>
      <c r="G76" s="108"/>
      <c r="H76" s="98">
        <f>H77-H75</f>
        <v>109733.65000000002</v>
      </c>
    </row>
    <row r="77" spans="1:8" ht="15.75">
      <c r="A77" s="105" t="s">
        <v>180</v>
      </c>
      <c r="B77" s="105"/>
      <c r="C77" s="105"/>
      <c r="D77" s="105"/>
      <c r="E77" s="105"/>
      <c r="F77" s="105"/>
      <c r="G77" s="106"/>
      <c r="H77" s="38">
        <f>TRUNC(H75*1.2365,2)-0.01</f>
        <v>573723.76</v>
      </c>
    </row>
    <row r="78" spans="1:8" ht="15">
      <c r="A78" s="39"/>
      <c r="B78" s="39"/>
      <c r="C78" s="40"/>
      <c r="D78" s="40"/>
      <c r="E78" s="40"/>
      <c r="G78" s="41"/>
      <c r="H78" s="41"/>
    </row>
    <row r="79" spans="1:5" ht="15">
      <c r="A79" s="39"/>
      <c r="B79" s="39"/>
      <c r="C79" s="40"/>
      <c r="D79" s="40"/>
      <c r="E79" s="40"/>
    </row>
    <row r="80" spans="3:254" ht="15" hidden="1">
      <c r="C80" s="42"/>
      <c r="D80" s="43"/>
      <c r="E80" s="44"/>
      <c r="F80" s="45"/>
      <c r="G80" s="45"/>
      <c r="H80" s="46"/>
      <c r="IM80" s="47"/>
      <c r="IN80" s="47"/>
      <c r="IO80" s="47"/>
      <c r="IP80" s="47"/>
      <c r="IQ80" s="47"/>
      <c r="IR80" s="47"/>
      <c r="IS80" s="47"/>
      <c r="IT80" s="47"/>
    </row>
    <row r="81" spans="3:254" ht="15" hidden="1">
      <c r="C81" s="42" t="s">
        <v>150</v>
      </c>
      <c r="D81" s="43">
        <f>(0.64+0.64+0.98+1.51+0.96+0.59+0.98+0.63+0.64+0.64+0.64+1.23+0.43+1.58+0.47+0.59+0.92+0.47+0.47)*2</f>
        <v>30.020000000000003</v>
      </c>
      <c r="E81" s="44"/>
      <c r="F81" s="45"/>
      <c r="G81" s="45"/>
      <c r="H81" s="46"/>
      <c r="IM81" s="47"/>
      <c r="IN81" s="47"/>
      <c r="IO81" s="47"/>
      <c r="IP81" s="47"/>
      <c r="IQ81" s="47"/>
      <c r="IR81" s="47"/>
      <c r="IS81" s="47"/>
      <c r="IT81" s="47"/>
    </row>
    <row r="82" spans="3:254" ht="15" hidden="1">
      <c r="C82" t="s">
        <v>151</v>
      </c>
      <c r="D82" s="48">
        <f>D81*0.6</f>
        <v>18.012000000000004</v>
      </c>
      <c r="E82"/>
      <c r="F82"/>
      <c r="H82" s="49"/>
      <c r="IM82" s="47"/>
      <c r="IN82" s="47"/>
      <c r="IO82" s="47"/>
      <c r="IP82" s="47"/>
      <c r="IQ82" s="47"/>
      <c r="IR82" s="47"/>
      <c r="IS82" s="47"/>
      <c r="IT82" s="47"/>
    </row>
    <row r="83" spans="3:254" ht="15" hidden="1">
      <c r="C83" s="1" t="s">
        <v>152</v>
      </c>
      <c r="D83" s="2">
        <f>0.185*2*6</f>
        <v>2.2199999999999998</v>
      </c>
      <c r="IM83" s="47"/>
      <c r="IN83" s="47"/>
      <c r="IO83" s="47"/>
      <c r="IP83" s="47"/>
      <c r="IQ83" s="47"/>
      <c r="IR83" s="47"/>
      <c r="IS83" s="47"/>
      <c r="IT83" s="47"/>
    </row>
    <row r="84" spans="3:254" ht="15" hidden="1">
      <c r="C84"/>
      <c r="D84" s="1" t="s">
        <v>153</v>
      </c>
      <c r="IM84" s="47"/>
      <c r="IN84" s="47"/>
      <c r="IO84" s="47"/>
      <c r="IP84" s="47"/>
      <c r="IQ84" s="47"/>
      <c r="IR84" s="47"/>
      <c r="IS84" s="47"/>
      <c r="IT84" s="47"/>
    </row>
    <row r="85" spans="4:254" ht="15" hidden="1">
      <c r="D85" s="2">
        <f>2.22*99.7</f>
        <v>221.33400000000003</v>
      </c>
      <c r="IM85" s="47"/>
      <c r="IN85" s="47"/>
      <c r="IO85" s="47"/>
      <c r="IP85" s="47"/>
      <c r="IQ85" s="47"/>
      <c r="IR85" s="47"/>
      <c r="IS85" s="47"/>
      <c r="IT85" s="47"/>
    </row>
    <row r="86" spans="4:254" ht="15" hidden="1">
      <c r="D86" s="2" t="s">
        <v>154</v>
      </c>
      <c r="IM86" s="47"/>
      <c r="IN86" s="47"/>
      <c r="IO86" s="47"/>
      <c r="IP86" s="47"/>
      <c r="IQ86" s="47"/>
      <c r="IR86" s="47"/>
      <c r="IS86" s="47"/>
      <c r="IT86" s="47"/>
    </row>
    <row r="87" spans="4:254" ht="15" hidden="1">
      <c r="D87" s="50"/>
      <c r="IM87" s="47"/>
      <c r="IN87" s="47"/>
      <c r="IO87" s="47"/>
      <c r="IP87" s="47"/>
      <c r="IQ87" s="47"/>
      <c r="IR87" s="47"/>
      <c r="IS87" s="47"/>
      <c r="IT87" s="47"/>
    </row>
    <row r="88" spans="4:254" ht="15" hidden="1">
      <c r="D88" s="50"/>
      <c r="IM88" s="47"/>
      <c r="IN88" s="47"/>
      <c r="IO88" s="47"/>
      <c r="IP88" s="47"/>
      <c r="IQ88" s="47"/>
      <c r="IR88" s="47"/>
      <c r="IS88" s="47"/>
      <c r="IT88" s="47"/>
    </row>
    <row r="89" spans="247:254" ht="15" hidden="1">
      <c r="IM89" s="47"/>
      <c r="IN89" s="47"/>
      <c r="IO89" s="47"/>
      <c r="IP89" s="47"/>
      <c r="IQ89" s="47"/>
      <c r="IR89" s="47"/>
      <c r="IS89" s="47"/>
      <c r="IT89" s="47"/>
    </row>
    <row r="90" spans="3:254" ht="15" hidden="1">
      <c r="C90" s="1" t="s">
        <v>155</v>
      </c>
      <c r="D90" s="2">
        <f>16.66-(3*0.51)</f>
        <v>15.13</v>
      </c>
      <c r="IM90" s="47"/>
      <c r="IN90" s="47"/>
      <c r="IO90" s="47"/>
      <c r="IP90" s="47"/>
      <c r="IQ90" s="47"/>
      <c r="IR90" s="47"/>
      <c r="IS90" s="47"/>
      <c r="IT90" s="47"/>
    </row>
    <row r="91" spans="5:8" ht="18">
      <c r="E91" s="118" t="str">
        <f>cronograma!H32</f>
        <v> Jahu, 05 de junho de 2023.</v>
      </c>
      <c r="F91" s="118"/>
      <c r="G91" s="118"/>
      <c r="H91" s="118"/>
    </row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spans="3:8" ht="15" hidden="1">
      <c r="C118"/>
      <c r="D118"/>
      <c r="E118"/>
      <c r="F118"/>
      <c r="G118"/>
      <c r="H118"/>
    </row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spans="4:254" ht="15" hidden="1">
      <c r="D126" s="51"/>
      <c r="IM126" s="1"/>
      <c r="IN126" s="1"/>
      <c r="IO126" s="1"/>
      <c r="IP126" s="1"/>
      <c r="IQ126" s="1"/>
      <c r="IR126" s="1"/>
      <c r="IS126" s="1"/>
      <c r="IT126" s="1"/>
    </row>
    <row r="127" spans="4:254" ht="15" hidden="1">
      <c r="D127" s="51"/>
      <c r="IM127" s="1"/>
      <c r="IN127" s="1"/>
      <c r="IO127" s="1"/>
      <c r="IP127" s="1"/>
      <c r="IQ127" s="1"/>
      <c r="IR127" s="1"/>
      <c r="IS127" s="1"/>
      <c r="IT127" s="1"/>
    </row>
    <row r="128" spans="4:254" ht="15" hidden="1">
      <c r="D128" s="51"/>
      <c r="IM128" s="1"/>
      <c r="IN128" s="1"/>
      <c r="IO128" s="1"/>
      <c r="IP128" s="1"/>
      <c r="IQ128" s="1"/>
      <c r="IR128" s="1"/>
      <c r="IS128" s="1"/>
      <c r="IT128" s="1"/>
    </row>
    <row r="129" spans="4:254" ht="15" hidden="1">
      <c r="D129" s="51"/>
      <c r="IM129" s="1"/>
      <c r="IN129" s="1"/>
      <c r="IO129" s="1"/>
      <c r="IP129" s="1"/>
      <c r="IQ129" s="1"/>
      <c r="IR129" s="1"/>
      <c r="IS129" s="1"/>
      <c r="IT129" s="1"/>
    </row>
  </sheetData>
  <sheetProtection selectLockedCells="1" selectUnlockedCells="1"/>
  <mergeCells count="61">
    <mergeCell ref="E91:H91"/>
    <mergeCell ref="A1:D1"/>
    <mergeCell ref="A6:H6"/>
    <mergeCell ref="A7:H7"/>
    <mergeCell ref="A8:H8"/>
    <mergeCell ref="I8:N8"/>
    <mergeCell ref="A9:H9"/>
    <mergeCell ref="F17:F18"/>
    <mergeCell ref="G17:G18"/>
    <mergeCell ref="H17:H18"/>
    <mergeCell ref="A10:D10"/>
    <mergeCell ref="A11:D11"/>
    <mergeCell ref="A13:D13"/>
    <mergeCell ref="A14:D14"/>
    <mergeCell ref="A15:D15"/>
    <mergeCell ref="A19:H19"/>
    <mergeCell ref="D20:H20"/>
    <mergeCell ref="A27:G27"/>
    <mergeCell ref="D28:H28"/>
    <mergeCell ref="A16:H16"/>
    <mergeCell ref="A17:A18"/>
    <mergeCell ref="B17:B18"/>
    <mergeCell ref="C17:C18"/>
    <mergeCell ref="D17:D18"/>
    <mergeCell ref="E17:E18"/>
    <mergeCell ref="AH35:AM35"/>
    <mergeCell ref="AR35:AW35"/>
    <mergeCell ref="N36:S36"/>
    <mergeCell ref="X36:AC36"/>
    <mergeCell ref="BB36:BG36"/>
    <mergeCell ref="BL36:BQ36"/>
    <mergeCell ref="BV36:CA36"/>
    <mergeCell ref="CF36:CK36"/>
    <mergeCell ref="CP36:CU36"/>
    <mergeCell ref="CZ36:DE36"/>
    <mergeCell ref="DJ36:DO36"/>
    <mergeCell ref="DT36:DY36"/>
    <mergeCell ref="ED36:EI36"/>
    <mergeCell ref="EN36:ES36"/>
    <mergeCell ref="EX36:FC36"/>
    <mergeCell ref="FH36:FM36"/>
    <mergeCell ref="FR36:FW36"/>
    <mergeCell ref="GB36:GG36"/>
    <mergeCell ref="GL36:GQ36"/>
    <mergeCell ref="GV36:HA36"/>
    <mergeCell ref="HF36:HK36"/>
    <mergeCell ref="HP36:HU36"/>
    <mergeCell ref="HZ36:IE36"/>
    <mergeCell ref="IJ36:IL36"/>
    <mergeCell ref="A45:G45"/>
    <mergeCell ref="D46:H46"/>
    <mergeCell ref="A51:G51"/>
    <mergeCell ref="A52:H52"/>
    <mergeCell ref="D53:H53"/>
    <mergeCell ref="A56:G56"/>
    <mergeCell ref="D57:H57"/>
    <mergeCell ref="A73:G73"/>
    <mergeCell ref="A74:H74"/>
    <mergeCell ref="A75:G75"/>
    <mergeCell ref="A77:G77"/>
    <mergeCell ref="A76:G7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SheetLayoutView="95" zoomScalePageLayoutView="0" workbookViewId="0" topLeftCell="A1">
      <selection activeCell="AC26" sqref="AC26"/>
    </sheetView>
  </sheetViews>
  <sheetFormatPr defaultColWidth="12.7109375" defaultRowHeight="12.75"/>
  <cols>
    <col min="1" max="1" width="9.421875" style="0" customWidth="1"/>
    <col min="2" max="2" width="55.8515625" style="0" customWidth="1"/>
    <col min="3" max="3" width="23.57421875" style="0" customWidth="1"/>
    <col min="4" max="4" width="15.140625" style="0" customWidth="1"/>
    <col min="5" max="5" width="15.00390625" style="0" customWidth="1"/>
    <col min="6" max="6" width="17.28125" style="0" customWidth="1"/>
    <col min="7" max="7" width="19.28125" style="0" customWidth="1"/>
    <col min="8" max="8" width="18.28125" style="0" customWidth="1"/>
    <col min="9" max="9" width="17.28125" style="0" customWidth="1"/>
    <col min="10" max="10" width="16.7109375" style="0" customWidth="1"/>
    <col min="11" max="20" width="0" style="4" hidden="1" customWidth="1"/>
    <col min="21" max="255" width="12.7109375" style="4" customWidth="1"/>
  </cols>
  <sheetData>
    <row r="1" spans="1:10" ht="45.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30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15.7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15.7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5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5.7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.7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.7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23.25">
      <c r="A10" s="54"/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9.5" customHeight="1">
      <c r="A11" s="131" t="s">
        <v>156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12.75" customHeight="1">
      <c r="A12" s="57"/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10" s="61" customFormat="1" ht="17.25" customHeight="1">
      <c r="A13" s="58" t="s">
        <v>157</v>
      </c>
      <c r="B13" s="133" t="s">
        <v>158</v>
      </c>
      <c r="C13" s="133"/>
      <c r="D13" s="133"/>
      <c r="E13" s="133"/>
      <c r="F13" s="133"/>
      <c r="G13" s="133"/>
      <c r="H13" s="133"/>
      <c r="I13" s="133"/>
      <c r="J13" s="60" t="s">
        <v>181</v>
      </c>
    </row>
    <row r="14" spans="1:10" s="61" customFormat="1" ht="17.25" customHeight="1">
      <c r="A14" s="62" t="s">
        <v>159</v>
      </c>
      <c r="B14" s="133" t="s">
        <v>160</v>
      </c>
      <c r="C14" s="133"/>
      <c r="D14" s="133"/>
      <c r="E14" s="133"/>
      <c r="F14" s="133"/>
      <c r="G14" s="133"/>
      <c r="H14" s="133"/>
      <c r="I14" s="133"/>
      <c r="J14" s="59"/>
    </row>
    <row r="15" spans="1:10" s="61" customFormat="1" ht="12.75" customHeight="1">
      <c r="A15" s="63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s="67" customFormat="1" ht="13.5" customHeight="1">
      <c r="A16" s="123" t="s">
        <v>5</v>
      </c>
      <c r="B16" s="124" t="s">
        <v>161</v>
      </c>
      <c r="C16" s="125" t="s">
        <v>162</v>
      </c>
      <c r="D16" s="64" t="s">
        <v>163</v>
      </c>
      <c r="E16" s="65" t="s">
        <v>164</v>
      </c>
      <c r="F16" s="66" t="s">
        <v>165</v>
      </c>
      <c r="G16" s="64" t="s">
        <v>166</v>
      </c>
      <c r="H16" s="66" t="s">
        <v>167</v>
      </c>
      <c r="I16" s="64" t="s">
        <v>168</v>
      </c>
      <c r="J16" s="64" t="s">
        <v>169</v>
      </c>
    </row>
    <row r="17" spans="1:10" s="67" customFormat="1" ht="13.5" customHeight="1">
      <c r="A17" s="123"/>
      <c r="B17" s="124"/>
      <c r="C17" s="125"/>
      <c r="D17" s="68" t="s">
        <v>170</v>
      </c>
      <c r="E17" s="68" t="s">
        <v>170</v>
      </c>
      <c r="F17" s="66" t="s">
        <v>170</v>
      </c>
      <c r="G17" s="68" t="s">
        <v>170</v>
      </c>
      <c r="H17" s="66" t="s">
        <v>170</v>
      </c>
      <c r="I17" s="68" t="s">
        <v>170</v>
      </c>
      <c r="J17" s="68" t="s">
        <v>171</v>
      </c>
    </row>
    <row r="18" spans="1:10" s="67" customFormat="1" ht="12.75" customHeight="1">
      <c r="A18" s="69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3" s="67" customFormat="1" ht="17.25" customHeight="1">
      <c r="A19" s="70">
        <v>1</v>
      </c>
      <c r="B19" s="71" t="str">
        <f>orçamento!D20</f>
        <v>SERVIÇOS PRELIMINARES</v>
      </c>
      <c r="C19" s="72">
        <f>J19/J30</f>
        <v>0.05385233234536663</v>
      </c>
      <c r="D19" s="73">
        <f>ROUND(D20*J19,2)</f>
        <v>12358.55</v>
      </c>
      <c r="E19" s="73">
        <f>ROUND(E20*J19,2)</f>
        <v>12358.55</v>
      </c>
      <c r="F19" s="73">
        <f>ROUND(F20*J19,2)</f>
        <v>6179.27</v>
      </c>
      <c r="G19" s="73">
        <f>ROUND(G20*J19,2)</f>
        <v>0</v>
      </c>
      <c r="H19" s="73">
        <f>ROUND(H20*J19,2)</f>
        <v>0</v>
      </c>
      <c r="I19" s="73">
        <f>ROUND(I20*J19,2)</f>
        <v>0</v>
      </c>
      <c r="J19" s="74">
        <f>orçamento!H27*1.2365</f>
        <v>30896.363675</v>
      </c>
      <c r="L19" s="94">
        <f>D19+E19+F19+G19+H19+I19</f>
        <v>30896.37</v>
      </c>
      <c r="M19" s="94"/>
    </row>
    <row r="20" spans="1:10" s="79" customFormat="1" ht="13.5" customHeight="1">
      <c r="A20" s="75"/>
      <c r="B20" s="76"/>
      <c r="C20" s="77"/>
      <c r="D20" s="77">
        <v>0.4</v>
      </c>
      <c r="E20" s="77">
        <v>0.4</v>
      </c>
      <c r="F20" s="77">
        <v>0.2</v>
      </c>
      <c r="G20" s="77">
        <v>0</v>
      </c>
      <c r="H20" s="77">
        <v>0</v>
      </c>
      <c r="I20" s="77">
        <v>0</v>
      </c>
      <c r="J20" s="78">
        <f>SUM(D20:I20)</f>
        <v>1</v>
      </c>
    </row>
    <row r="21" spans="1:13" s="67" customFormat="1" ht="16.5" customHeight="1">
      <c r="A21" s="70">
        <v>2</v>
      </c>
      <c r="B21" s="71" t="str">
        <f>orçamento!D28</f>
        <v>PISOS / GUIAS / SARJETAS/FLOREIRAS</v>
      </c>
      <c r="C21" s="72">
        <f>J21/J30</f>
        <v>0.5706285546766076</v>
      </c>
      <c r="D21" s="73">
        <f>ROUND(D22*J21,2)</f>
        <v>32738.32</v>
      </c>
      <c r="E21" s="73">
        <f>ROUND(E22*J21,2)</f>
        <v>32738.32</v>
      </c>
      <c r="F21" s="73">
        <f>ROUND(F22*J21,2)</f>
        <v>65476.63</v>
      </c>
      <c r="G21" s="73">
        <f>ROUND(G22*J21,2)</f>
        <v>98214.95</v>
      </c>
      <c r="H21" s="73">
        <f>ROUND(H22*J21,2)</f>
        <v>81845.79</v>
      </c>
      <c r="I21" s="73">
        <f>ROUND(I22*J21,2)</f>
        <v>16369.16</v>
      </c>
      <c r="J21" s="74">
        <f>orçamento!H45*1.2365</f>
        <v>327383.1713649999</v>
      </c>
      <c r="L21" s="94">
        <f>D21+E21+F21+G21+H21+I21</f>
        <v>327383.1699999999</v>
      </c>
      <c r="M21" s="94"/>
    </row>
    <row r="22" spans="1:10" s="79" customFormat="1" ht="13.5" customHeight="1">
      <c r="A22" s="75"/>
      <c r="B22" s="76"/>
      <c r="C22" s="77"/>
      <c r="D22" s="77">
        <v>0.1</v>
      </c>
      <c r="E22" s="77">
        <v>0.1</v>
      </c>
      <c r="F22" s="77">
        <v>0.2</v>
      </c>
      <c r="G22" s="77">
        <v>0.3</v>
      </c>
      <c r="H22" s="77">
        <v>0.25</v>
      </c>
      <c r="I22" s="77">
        <v>0.05</v>
      </c>
      <c r="J22" s="78">
        <f>SUM(D22:I22)</f>
        <v>1</v>
      </c>
    </row>
    <row r="23" spans="1:15" s="67" customFormat="1" ht="16.5" customHeight="1">
      <c r="A23" s="70">
        <v>3</v>
      </c>
      <c r="B23" s="71" t="str">
        <f>orçamento!D46</f>
        <v>ELEMENTOS METÁLICOS / MADEIRA</v>
      </c>
      <c r="C23" s="72">
        <f>J23/J30</f>
        <v>0.1528817476068362</v>
      </c>
      <c r="D23" s="73">
        <f>ROUND(D24*J23,2)</f>
        <v>0</v>
      </c>
      <c r="E23" s="73">
        <f>ROUND(E24*J23,2)</f>
        <v>0</v>
      </c>
      <c r="F23" s="73">
        <f>ROUND(F24*J23,2)</f>
        <v>0</v>
      </c>
      <c r="G23" s="73">
        <f>ROUND(G24*J23,2)</f>
        <v>8771.19</v>
      </c>
      <c r="H23" s="73">
        <f>ROUND(H24*J23,2)</f>
        <v>26313.57</v>
      </c>
      <c r="I23" s="73">
        <f>ROUND(I24*J23,2)</f>
        <v>52627.14</v>
      </c>
      <c r="J23" s="74">
        <f>orçamento!H51*1.2365</f>
        <v>87711.89413</v>
      </c>
      <c r="L23" s="94">
        <f>D23+E23+F23+G23+H23+I23</f>
        <v>87711.9</v>
      </c>
      <c r="M23" s="94"/>
      <c r="O23" s="94">
        <f>I19+I21+I23+I25+I27</f>
        <v>91855.97</v>
      </c>
    </row>
    <row r="24" spans="1:13" s="79" customFormat="1" ht="13.5" customHeight="1">
      <c r="A24" s="75"/>
      <c r="B24" s="76"/>
      <c r="C24" s="77"/>
      <c r="D24" s="77">
        <v>0</v>
      </c>
      <c r="E24" s="77">
        <v>0</v>
      </c>
      <c r="F24" s="77"/>
      <c r="G24" s="77">
        <v>0.1</v>
      </c>
      <c r="H24" s="77">
        <v>0.3</v>
      </c>
      <c r="I24" s="77">
        <v>0.6</v>
      </c>
      <c r="J24" s="78">
        <f>SUM(D24:I24)</f>
        <v>1</v>
      </c>
      <c r="M24" s="94"/>
    </row>
    <row r="25" spans="1:13" s="67" customFormat="1" ht="13.5" customHeight="1">
      <c r="A25" s="70">
        <v>4</v>
      </c>
      <c r="B25" s="71" t="str">
        <f>orçamento!D53</f>
        <v>INSTALAÇÕES ELÉTRICAS</v>
      </c>
      <c r="C25" s="72">
        <f>J25/J30</f>
        <v>0.02341541251784962</v>
      </c>
      <c r="D25" s="73">
        <f>ROUND(D26*J25,2)</f>
        <v>0</v>
      </c>
      <c r="E25" s="73">
        <f>ROUND(E26*J25,2)</f>
        <v>1343.4</v>
      </c>
      <c r="F25" s="73">
        <f>ROUND(F26*J25,2)</f>
        <v>6045.29</v>
      </c>
      <c r="G25" s="73">
        <f>ROUND(G26*J25,2)</f>
        <v>6045.29</v>
      </c>
      <c r="H25" s="73">
        <f>ROUND(H26*J25,2)</f>
        <v>0</v>
      </c>
      <c r="I25" s="73">
        <f>ROUND(I26*J25,2)</f>
        <v>0</v>
      </c>
      <c r="J25" s="74">
        <f>orçamento!H56*1.2365</f>
        <v>13433.97898</v>
      </c>
      <c r="L25" s="94">
        <f>D25+E25+F25+G25+H25+I25</f>
        <v>13433.98</v>
      </c>
      <c r="M25" s="94"/>
    </row>
    <row r="26" spans="1:10" s="79" customFormat="1" ht="13.5" customHeight="1">
      <c r="A26" s="75"/>
      <c r="B26" s="76"/>
      <c r="C26" s="77"/>
      <c r="D26" s="77">
        <v>0</v>
      </c>
      <c r="E26" s="77">
        <v>0.1</v>
      </c>
      <c r="F26" s="77">
        <v>0.45</v>
      </c>
      <c r="G26" s="77">
        <v>0.45</v>
      </c>
      <c r="H26" s="77"/>
      <c r="I26" s="77"/>
      <c r="J26" s="78">
        <f>SUM(D26:I26)</f>
        <v>1</v>
      </c>
    </row>
    <row r="27" spans="1:13" s="67" customFormat="1" ht="16.5" customHeight="1">
      <c r="A27" s="70">
        <v>5</v>
      </c>
      <c r="B27" s="71" t="str">
        <f>orçamento!D57</f>
        <v>SERVIÇOS COMPLEMENTARES/PAISAGISMO</v>
      </c>
      <c r="C27" s="72">
        <f>J27/J30</f>
        <v>0.1992219371924936</v>
      </c>
      <c r="D27" s="73">
        <f>ROUND(D28*J27,2)</f>
        <v>8572.38</v>
      </c>
      <c r="E27" s="73">
        <f>ROUND(E28*J27,2)</f>
        <v>8572.38</v>
      </c>
      <c r="F27" s="73">
        <f>ROUND(F28*J27,2)</f>
        <v>17144.75</v>
      </c>
      <c r="G27" s="73">
        <f>ROUND(G28*J27,2)</f>
        <v>28574.59</v>
      </c>
      <c r="H27" s="73">
        <f>ROUND(H28*J27,2)</f>
        <v>28574.59</v>
      </c>
      <c r="I27" s="73">
        <f>ROUND(I28*J27,2)</f>
        <v>22859.67</v>
      </c>
      <c r="J27" s="74">
        <f>orçamento!H73*1.2365</f>
        <v>114298.36286499999</v>
      </c>
      <c r="L27" s="94">
        <f>D27+E27+F27+G27+H27+I27</f>
        <v>114298.35999999999</v>
      </c>
      <c r="M27" s="94"/>
    </row>
    <row r="28" spans="1:12" s="79" customFormat="1" ht="13.5" customHeight="1">
      <c r="A28" s="75"/>
      <c r="B28" s="76"/>
      <c r="C28" s="77"/>
      <c r="D28" s="77">
        <v>0.075</v>
      </c>
      <c r="E28" s="77">
        <v>0.075</v>
      </c>
      <c r="F28" s="77">
        <v>0.15</v>
      </c>
      <c r="G28" s="77">
        <v>0.25</v>
      </c>
      <c r="H28" s="77">
        <v>0.25</v>
      </c>
      <c r="I28" s="77">
        <v>0.2</v>
      </c>
      <c r="J28" s="78">
        <f>SUM(D28:I28)</f>
        <v>1</v>
      </c>
      <c r="L28" s="94"/>
    </row>
    <row r="29" spans="1:12" s="81" customFormat="1" ht="12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L29" s="97">
        <f>L19+L21+L23+L25+L27</f>
        <v>573723.7799999999</v>
      </c>
    </row>
    <row r="30" spans="1:10" s="67" customFormat="1" ht="16.5" customHeight="1">
      <c r="A30" s="127" t="s">
        <v>182</v>
      </c>
      <c r="B30" s="127"/>
      <c r="C30" s="82">
        <f aca="true" t="shared" si="0" ref="C30:H30">C21+C23+C27+C19+C25</f>
        <v>0.9999999843391536</v>
      </c>
      <c r="D30" s="83">
        <f t="shared" si="0"/>
        <v>53669.25</v>
      </c>
      <c r="E30" s="83">
        <f>E21+E23+E27+E19+E25</f>
        <v>55012.65</v>
      </c>
      <c r="F30" s="83">
        <f t="shared" si="0"/>
        <v>94845.94</v>
      </c>
      <c r="G30" s="83">
        <f t="shared" si="0"/>
        <v>141606.02000000002</v>
      </c>
      <c r="H30" s="83">
        <f t="shared" si="0"/>
        <v>136733.94999999998</v>
      </c>
      <c r="I30" s="83">
        <f>I19+I21+I23+I25+I27</f>
        <v>91855.97</v>
      </c>
      <c r="J30" s="84">
        <f>SUM(D30:I30)</f>
        <v>573723.7799999999</v>
      </c>
    </row>
    <row r="31" spans="1:10" s="81" customFormat="1" ht="13.5" customHeight="1">
      <c r="A31" s="85"/>
      <c r="B31" s="85"/>
      <c r="C31" s="86"/>
      <c r="D31" s="87"/>
      <c r="E31" s="87"/>
      <c r="F31" s="87"/>
      <c r="G31" s="87"/>
      <c r="H31" s="87"/>
      <c r="I31" s="88"/>
      <c r="J31" s="89"/>
    </row>
    <row r="32" spans="1:10" ht="13.5" customHeight="1">
      <c r="A32" s="90"/>
      <c r="B32" s="91"/>
      <c r="C32" s="92"/>
      <c r="D32" s="93"/>
      <c r="E32" s="93"/>
      <c r="F32" s="93"/>
      <c r="G32" s="93"/>
      <c r="H32" s="128" t="s">
        <v>195</v>
      </c>
      <c r="I32" s="128"/>
      <c r="J32" s="128"/>
    </row>
    <row r="33" spans="8:10" ht="15">
      <c r="H33" s="129"/>
      <c r="I33" s="129"/>
      <c r="J33" s="129"/>
    </row>
    <row r="34" ht="15">
      <c r="H34" t="s">
        <v>196</v>
      </c>
    </row>
  </sheetData>
  <sheetProtection selectLockedCells="1" selectUnlockedCells="1"/>
  <mergeCells count="12">
    <mergeCell ref="A1:J1"/>
    <mergeCell ref="A11:J11"/>
    <mergeCell ref="B12:J12"/>
    <mergeCell ref="B13:I13"/>
    <mergeCell ref="B14:I14"/>
    <mergeCell ref="B15:J15"/>
    <mergeCell ref="A16:A17"/>
    <mergeCell ref="B16:B17"/>
    <mergeCell ref="C16:C17"/>
    <mergeCell ref="B18:J18"/>
    <mergeCell ref="A30:B30"/>
    <mergeCell ref="H32:J33"/>
  </mergeCells>
  <printOptions horizontalCentered="1" verticalCentered="1"/>
  <pageMargins left="0.32430555555555557" right="0.3576388888888889" top="0.6645833333333333" bottom="0.18888888888888888" header="0.5118055555555555" footer="0.5118055555555555"/>
  <pageSetup fitToHeight="1" fitToWidth="1" horizontalDpi="300" verticalDpi="300" orientation="landscape" paperSize="9" scale="68" r:id="rId1"/>
  <ignoredErrors>
    <ignoredError sqref="J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Guarnieri</dc:creator>
  <cp:keywords/>
  <dc:description/>
  <cp:lastModifiedBy>Cesar Guarnieri</cp:lastModifiedBy>
  <cp:lastPrinted>2023-06-05T13:52:35Z</cp:lastPrinted>
  <dcterms:created xsi:type="dcterms:W3CDTF">2022-09-28T11:24:34Z</dcterms:created>
  <dcterms:modified xsi:type="dcterms:W3CDTF">2023-06-14T15:15:55Z</dcterms:modified>
  <cp:category/>
  <cp:version/>
  <cp:contentType/>
  <cp:contentStatus/>
</cp:coreProperties>
</file>